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135" windowHeight="9300" tabRatio="618" firstSheet="1" activeTab="1"/>
  </bookViews>
  <sheets>
    <sheet name="FC(2014-15) (2)" sheetId="28" state="hidden" r:id="rId1"/>
    <sheet name="FC(2019-24)" sheetId="31" r:id="rId2"/>
    <sheet name="FC(2019-20)" sheetId="10" r:id="rId3"/>
    <sheet name="FC(2020-21)" sheetId="50" r:id="rId4"/>
    <sheet name="FC(2021-22)" sheetId="19" r:id="rId5"/>
    <sheet name="FC(2022-23)" sheetId="51" r:id="rId6"/>
    <sheet name="FC(2023-24)" sheetId="20" r:id="rId7"/>
    <sheet name="I-A" sheetId="33" r:id="rId8"/>
    <sheet name="1(2019-20)" sheetId="4" r:id="rId9"/>
    <sheet name="1(2020-21)" sheetId="11" r:id="rId10"/>
    <sheet name="1(2021-22)" sheetId="13" r:id="rId11"/>
    <sheet name="1(2022-23)" sheetId="15" r:id="rId12"/>
    <sheet name="1(2023-24)" sheetId="17" r:id="rId13"/>
    <sheet name="Annexure ii (Dep)" sheetId="6" r:id="rId14"/>
    <sheet name=" Annexure iii O&amp;M " sheetId="7" r:id="rId15"/>
    <sheet name="IV(IWC2019-20)" sheetId="23" r:id="rId16"/>
    <sheet name="IV(IWC2020-21)" sheetId="24" r:id="rId17"/>
    <sheet name="IV(IWC2021-22)" sheetId="25" r:id="rId18"/>
    <sheet name="IV(IWC2022-23)" sheetId="26" r:id="rId19"/>
    <sheet name="IV(IWC2023-24)" sheetId="27" r:id="rId20"/>
  </sheets>
  <definedNames>
    <definedName name="_xlnm.Print_Area" localSheetId="2">'FC(2019-20)'!$A$1:$F$23</definedName>
    <definedName name="_xlnm.Print_Area" localSheetId="1">'FC(2019-24)'!$A$1:$H$27</definedName>
    <definedName name="_xlnm.Print_Area" localSheetId="3">'FC(2020-21)'!#REF!</definedName>
    <definedName name="_xlnm.Print_Area" localSheetId="15">'IV(IWC2019-20)'!$A$2:$H$18</definedName>
    <definedName name="_xlnm.Print_Area" localSheetId="16">'IV(IWC2020-21)'!$A$2:$H$18</definedName>
    <definedName name="_xlnm.Print_Area" localSheetId="17">'IV(IWC2021-22)'!$A$2:$H$19</definedName>
    <definedName name="_xlnm.Print_Area" localSheetId="18">'IV(IWC2022-23)'!$A$2:$H$19</definedName>
    <definedName name="_xlnm.Print_Area" localSheetId="19">'IV(IWC2023-24)'!$A$2:$H$19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E9" i="4"/>
  <c r="E14" i="6"/>
  <c r="D13"/>
  <c r="C12"/>
  <c r="C10"/>
  <c r="E5" i="33"/>
  <c r="F18" i="7" l="1"/>
  <c r="E16" i="4"/>
  <c r="F18" i="10"/>
  <c r="E16" l="1"/>
  <c r="M18" i="23"/>
  <c r="N18"/>
  <c r="C17" i="6"/>
  <c r="D16" i="10" s="1"/>
  <c r="G18" i="7"/>
  <c r="E18"/>
  <c r="G18" i="6"/>
  <c r="F18"/>
  <c r="E18"/>
  <c r="M19" i="27"/>
  <c r="F19" i="26"/>
  <c r="M19"/>
  <c r="N19"/>
  <c r="F19" i="25"/>
  <c r="M19"/>
  <c r="N19"/>
  <c r="D17" i="19"/>
  <c r="E17"/>
  <c r="D17" i="51"/>
  <c r="E17"/>
  <c r="D17" i="20"/>
  <c r="E17"/>
  <c r="F19" i="27"/>
  <c r="N19"/>
  <c r="R19"/>
  <c r="D19" s="1"/>
  <c r="E19"/>
  <c r="R19" i="26"/>
  <c r="D19" s="1"/>
  <c r="E19"/>
  <c r="R19" i="25"/>
  <c r="E19"/>
  <c r="D19"/>
  <c r="B19" i="15"/>
  <c r="C19" s="1"/>
  <c r="C19" i="13"/>
  <c r="D19" s="1"/>
  <c r="E19"/>
  <c r="D14" i="51"/>
  <c r="D13"/>
  <c r="D12"/>
  <c r="D9"/>
  <c r="F18" i="50"/>
  <c r="F19" i="19" s="1"/>
  <c r="F19" i="51" s="1"/>
  <c r="D16" i="50"/>
  <c r="D14"/>
  <c r="D13"/>
  <c r="D12"/>
  <c r="D9"/>
  <c r="B19" i="17" l="1"/>
  <c r="C19" s="1"/>
  <c r="D19" s="1"/>
  <c r="E20" i="31"/>
  <c r="E19" i="15"/>
  <c r="E19" i="17" s="1"/>
  <c r="G19" s="1"/>
  <c r="G19" i="13"/>
  <c r="D19" i="15"/>
  <c r="F19" i="13"/>
  <c r="F19" i="20"/>
  <c r="G20" i="31"/>
  <c r="D16" i="6"/>
  <c r="D15" i="50" s="1"/>
  <c r="E16" i="6"/>
  <c r="F16"/>
  <c r="D15" i="51" s="1"/>
  <c r="G16" i="6"/>
  <c r="C16"/>
  <c r="D15" i="10"/>
  <c r="E15"/>
  <c r="F19" i="17" l="1"/>
  <c r="G19" i="15"/>
  <c r="F19"/>
  <c r="D11" i="6"/>
  <c r="D10" i="50" s="1"/>
  <c r="E11" i="6" l="1"/>
  <c r="G14"/>
  <c r="D13" i="20" s="1"/>
  <c r="D12" i="6"/>
  <c r="D11" i="50" s="1"/>
  <c r="N3" i="23"/>
  <c r="D20" i="31"/>
  <c r="D17" i="7"/>
  <c r="D12" i="20"/>
  <c r="D14"/>
  <c r="D15"/>
  <c r="D12" i="19"/>
  <c r="D13"/>
  <c r="D14"/>
  <c r="D15"/>
  <c r="D11" i="10"/>
  <c r="E11"/>
  <c r="D12"/>
  <c r="E12"/>
  <c r="D13"/>
  <c r="E13"/>
  <c r="D14"/>
  <c r="E14"/>
  <c r="R13" i="27"/>
  <c r="D13" s="1"/>
  <c r="R14"/>
  <c r="D14" s="1"/>
  <c r="R15"/>
  <c r="D15" s="1"/>
  <c r="R16"/>
  <c r="D16" s="1"/>
  <c r="R17"/>
  <c r="D17" s="1"/>
  <c r="R18"/>
  <c r="D18" s="1"/>
  <c r="M14"/>
  <c r="M16"/>
  <c r="M17"/>
  <c r="R13" i="26"/>
  <c r="D13" s="1"/>
  <c r="R14"/>
  <c r="D14" s="1"/>
  <c r="R15"/>
  <c r="D15" s="1"/>
  <c r="R16"/>
  <c r="D16" s="1"/>
  <c r="R17"/>
  <c r="D17" s="1"/>
  <c r="R18"/>
  <c r="D18" s="1"/>
  <c r="M14"/>
  <c r="M15"/>
  <c r="M16"/>
  <c r="M17"/>
  <c r="F17" i="24"/>
  <c r="F17" i="25" s="1"/>
  <c r="F17" i="26" s="1"/>
  <c r="F17" i="27" s="1"/>
  <c r="F18" i="24"/>
  <c r="F18" i="25" s="1"/>
  <c r="F18" i="26" s="1"/>
  <c r="F18" i="27" s="1"/>
  <c r="R13" i="25"/>
  <c r="D13" s="1"/>
  <c r="R14"/>
  <c r="D14" s="1"/>
  <c r="R15"/>
  <c r="D15" s="1"/>
  <c r="R16"/>
  <c r="D16" s="1"/>
  <c r="R17"/>
  <c r="D17" s="1"/>
  <c r="R18"/>
  <c r="D18" s="1"/>
  <c r="M14"/>
  <c r="M15"/>
  <c r="M16"/>
  <c r="M17"/>
  <c r="R13" i="24"/>
  <c r="D13" s="1"/>
  <c r="R14"/>
  <c r="D14" s="1"/>
  <c r="R15"/>
  <c r="D15" s="1"/>
  <c r="R16"/>
  <c r="D16" s="1"/>
  <c r="R17"/>
  <c r="D17" s="1"/>
  <c r="R18"/>
  <c r="D18" s="1"/>
  <c r="M14"/>
  <c r="M15"/>
  <c r="M16"/>
  <c r="M17"/>
  <c r="F16" i="23"/>
  <c r="F16" i="24" s="1"/>
  <c r="F16" i="25" s="1"/>
  <c r="F16" i="26" s="1"/>
  <c r="F16" i="27" s="1"/>
  <c r="F15" i="23"/>
  <c r="F15" i="24" s="1"/>
  <c r="F15" i="25" s="1"/>
  <c r="F15" i="26" s="1"/>
  <c r="F15" i="27" s="1"/>
  <c r="F14" i="23"/>
  <c r="F14" i="24" s="1"/>
  <c r="F14" i="25" s="1"/>
  <c r="F14" i="26" s="1"/>
  <c r="F14" i="27" s="1"/>
  <c r="F13" i="23"/>
  <c r="F13" i="24" s="1"/>
  <c r="F13" i="25" s="1"/>
  <c r="F13" i="26" s="1"/>
  <c r="F13" i="27" s="1"/>
  <c r="R13" i="23"/>
  <c r="D13" s="1"/>
  <c r="R14"/>
  <c r="D14" s="1"/>
  <c r="R15"/>
  <c r="D15" s="1"/>
  <c r="R16"/>
  <c r="D16" s="1"/>
  <c r="R17"/>
  <c r="D17" s="1"/>
  <c r="R18"/>
  <c r="D18" s="1"/>
  <c r="M13"/>
  <c r="N13"/>
  <c r="E13" s="1"/>
  <c r="M14"/>
  <c r="N14"/>
  <c r="E14" s="1"/>
  <c r="M15"/>
  <c r="N15"/>
  <c r="E15" s="1"/>
  <c r="M16"/>
  <c r="N16"/>
  <c r="E16" s="1"/>
  <c r="M17"/>
  <c r="N17"/>
  <c r="E17" s="1"/>
  <c r="E18"/>
  <c r="N18" i="24" l="1"/>
  <c r="E18" s="1"/>
  <c r="E16" i="50"/>
  <c r="M15" i="27"/>
  <c r="M13" i="24"/>
  <c r="E12" i="6"/>
  <c r="D12" i="7"/>
  <c r="E11" i="50" s="1"/>
  <c r="D13" i="7"/>
  <c r="D14"/>
  <c r="E13" i="50" s="1"/>
  <c r="D15" i="7"/>
  <c r="D16"/>
  <c r="E15" i="50" s="1"/>
  <c r="E17" i="7"/>
  <c r="F17" s="1"/>
  <c r="E16" i="51" s="1"/>
  <c r="C19" i="7"/>
  <c r="E17" i="6"/>
  <c r="B18" i="11"/>
  <c r="B18" i="13" s="1"/>
  <c r="E18" i="11"/>
  <c r="C18" i="4"/>
  <c r="D18" s="1"/>
  <c r="G18" s="1"/>
  <c r="F12" i="6" l="1"/>
  <c r="D11" i="19"/>
  <c r="M13" i="25"/>
  <c r="E13" i="7"/>
  <c r="F13" s="1"/>
  <c r="E12" i="50"/>
  <c r="E15" i="7"/>
  <c r="E14" i="50"/>
  <c r="N17" i="24"/>
  <c r="E17" s="1"/>
  <c r="N15"/>
  <c r="E15" s="1"/>
  <c r="N13"/>
  <c r="E13" s="1"/>
  <c r="N16"/>
  <c r="E16" s="1"/>
  <c r="N14"/>
  <c r="E14" s="1"/>
  <c r="E16" i="7"/>
  <c r="F16" s="1"/>
  <c r="E14"/>
  <c r="F14" s="1"/>
  <c r="E12"/>
  <c r="E12" i="51"/>
  <c r="N14" i="25"/>
  <c r="E14" s="1"/>
  <c r="G17" i="7"/>
  <c r="E16" i="19"/>
  <c r="N18" i="25"/>
  <c r="E18" s="1"/>
  <c r="E18" i="13"/>
  <c r="E18" i="15" s="1"/>
  <c r="M18" i="24"/>
  <c r="M18" i="25"/>
  <c r="D16" i="19"/>
  <c r="F17" i="6"/>
  <c r="B18" i="15"/>
  <c r="C18" i="13"/>
  <c r="D18" s="1"/>
  <c r="C18" i="11"/>
  <c r="D18" s="1"/>
  <c r="G18" s="1"/>
  <c r="F18" i="4"/>
  <c r="E12" i="19" l="1"/>
  <c r="E18" i="17"/>
  <c r="D16" i="51"/>
  <c r="D11"/>
  <c r="M13" i="26"/>
  <c r="G12" i="6"/>
  <c r="F12" i="7"/>
  <c r="E11" i="51" s="1"/>
  <c r="E14"/>
  <c r="F15" i="7"/>
  <c r="E14" i="19"/>
  <c r="N16" i="25"/>
  <c r="E16" s="1"/>
  <c r="F18" i="11"/>
  <c r="G18" i="13"/>
  <c r="E15" i="51"/>
  <c r="E15" i="19"/>
  <c r="N17" i="25"/>
  <c r="E17" s="1"/>
  <c r="E13" i="51"/>
  <c r="E13" i="19"/>
  <c r="N15" i="25"/>
  <c r="E15" s="1"/>
  <c r="E11" i="19"/>
  <c r="N13" i="25"/>
  <c r="E13" s="1"/>
  <c r="N14" i="26"/>
  <c r="E14" s="1"/>
  <c r="G13" i="7"/>
  <c r="G15"/>
  <c r="N16" i="26"/>
  <c r="E16" s="1"/>
  <c r="N18"/>
  <c r="E18" s="1"/>
  <c r="G17" i="6"/>
  <c r="M18" i="26"/>
  <c r="B18" i="17"/>
  <c r="C18" s="1"/>
  <c r="D18" s="1"/>
  <c r="C18" i="15"/>
  <c r="D18" s="1"/>
  <c r="F18" i="13"/>
  <c r="M13" i="27" l="1"/>
  <c r="D11" i="20"/>
  <c r="E14"/>
  <c r="N16" i="27"/>
  <c r="E16" s="1"/>
  <c r="G12" i="7"/>
  <c r="N13" i="26"/>
  <c r="E13" s="1"/>
  <c r="E12" i="20"/>
  <c r="N14" i="27"/>
  <c r="E14" s="1"/>
  <c r="G14" i="7"/>
  <c r="N15" i="26"/>
  <c r="E15" s="1"/>
  <c r="G16" i="7"/>
  <c r="N17" i="26"/>
  <c r="E17" s="1"/>
  <c r="N18" i="27"/>
  <c r="E18" s="1"/>
  <c r="E16" i="20"/>
  <c r="M18" i="27"/>
  <c r="D16" i="20"/>
  <c r="G18" i="15"/>
  <c r="F18"/>
  <c r="G18" i="17"/>
  <c r="F18"/>
  <c r="E15" i="20" l="1"/>
  <c r="N17" i="27"/>
  <c r="E17" s="1"/>
  <c r="N13"/>
  <c r="E13" s="1"/>
  <c r="E11" i="20"/>
  <c r="N15" i="27"/>
  <c r="E15" s="1"/>
  <c r="E13" i="20"/>
  <c r="B13" i="11" l="1"/>
  <c r="B13" i="13" s="1"/>
  <c r="B14" i="11"/>
  <c r="E14"/>
  <c r="E14" i="13" s="1"/>
  <c r="E14" i="15" s="1"/>
  <c r="E14" i="17" s="1"/>
  <c r="B15" i="11"/>
  <c r="C16"/>
  <c r="D16" s="1"/>
  <c r="E16"/>
  <c r="E16" i="13" s="1"/>
  <c r="E16" i="15" s="1"/>
  <c r="E16" i="17" s="1"/>
  <c r="B17" i="11"/>
  <c r="B17" i="13" s="1"/>
  <c r="E17" i="11"/>
  <c r="E17" i="13" s="1"/>
  <c r="E17" i="15" s="1"/>
  <c r="E17" i="17" s="1"/>
  <c r="E15" i="4"/>
  <c r="E15" i="11" s="1"/>
  <c r="E15" i="13" s="1"/>
  <c r="E15" i="15" s="1"/>
  <c r="E15" i="17" s="1"/>
  <c r="E14" i="4"/>
  <c r="E13"/>
  <c r="E13" i="11" s="1"/>
  <c r="E13" i="13" s="1"/>
  <c r="E13" i="15" s="1"/>
  <c r="E13" i="17" s="1"/>
  <c r="D6" i="33"/>
  <c r="F6" s="1"/>
  <c r="D7"/>
  <c r="F7" s="1"/>
  <c r="D8"/>
  <c r="F8" s="1"/>
  <c r="D9"/>
  <c r="D10"/>
  <c r="F10" s="1"/>
  <c r="D11"/>
  <c r="F11" s="1"/>
  <c r="D13"/>
  <c r="F13" s="1"/>
  <c r="D12"/>
  <c r="F12" s="1"/>
  <c r="D14"/>
  <c r="F14" s="1"/>
  <c r="D5"/>
  <c r="F5" s="1"/>
  <c r="C14" i="4"/>
  <c r="D14" s="1"/>
  <c r="G14" s="1"/>
  <c r="C15"/>
  <c r="D15" s="1"/>
  <c r="G15" s="1"/>
  <c r="C16"/>
  <c r="D16" s="1"/>
  <c r="C17"/>
  <c r="D17" s="1"/>
  <c r="F17" s="1"/>
  <c r="C13"/>
  <c r="D13" s="1"/>
  <c r="P1" i="27"/>
  <c r="P1" i="26"/>
  <c r="P1" i="25"/>
  <c r="P1" i="24"/>
  <c r="O7" i="23"/>
  <c r="O8"/>
  <c r="O9"/>
  <c r="O10"/>
  <c r="O11"/>
  <c r="O12"/>
  <c r="O6"/>
  <c r="G13" i="4" l="1"/>
  <c r="G17"/>
  <c r="F15"/>
  <c r="B14" i="13"/>
  <c r="C14" s="1"/>
  <c r="F13" i="4"/>
  <c r="F14"/>
  <c r="G16"/>
  <c r="F16"/>
  <c r="C13" i="11"/>
  <c r="D13" s="1"/>
  <c r="G13" s="1"/>
  <c r="B13" i="15"/>
  <c r="C13" i="13"/>
  <c r="D13" s="1"/>
  <c r="F13" s="1"/>
  <c r="C17"/>
  <c r="D17" s="1"/>
  <c r="G17" s="1"/>
  <c r="B17" i="15"/>
  <c r="C15" i="11"/>
  <c r="D15" s="1"/>
  <c r="F15" s="1"/>
  <c r="O14" i="24"/>
  <c r="O16"/>
  <c r="O18"/>
  <c r="O13"/>
  <c r="O15"/>
  <c r="O17"/>
  <c r="B16" i="13"/>
  <c r="C17" i="11"/>
  <c r="D17" s="1"/>
  <c r="G17" s="1"/>
  <c r="B14" i="15"/>
  <c r="B14" i="17" s="1"/>
  <c r="B15" i="13"/>
  <c r="B15" i="15" s="1"/>
  <c r="G13" i="13"/>
  <c r="F16" i="11"/>
  <c r="G16"/>
  <c r="C14"/>
  <c r="D14" s="1"/>
  <c r="O7" i="24"/>
  <c r="O7" i="25" s="1"/>
  <c r="O12" i="24"/>
  <c r="O12" i="25" s="1"/>
  <c r="O8" i="24"/>
  <c r="O8" i="25" s="1"/>
  <c r="O6" i="24"/>
  <c r="O6" i="25" s="1"/>
  <c r="O9" i="24"/>
  <c r="O9" i="25" s="1"/>
  <c r="O10" i="24"/>
  <c r="O10" i="25" s="1"/>
  <c r="O11" i="24"/>
  <c r="O11" i="25" s="1"/>
  <c r="F17" i="11" l="1"/>
  <c r="D14" i="13"/>
  <c r="G14" s="1"/>
  <c r="F13" i="11"/>
  <c r="C15" i="13"/>
  <c r="D15" s="1"/>
  <c r="F15" s="1"/>
  <c r="F17"/>
  <c r="O6" i="26"/>
  <c r="O6" i="27" s="1"/>
  <c r="O10"/>
  <c r="O10" i="26"/>
  <c r="O12"/>
  <c r="O12" i="27" s="1"/>
  <c r="O11" i="26"/>
  <c r="O11" i="27" s="1"/>
  <c r="O8" i="26"/>
  <c r="O8" i="27" s="1"/>
  <c r="O9" i="26"/>
  <c r="O9" i="27" s="1"/>
  <c r="O7" i="26"/>
  <c r="O7" i="27" s="1"/>
  <c r="G15" i="13"/>
  <c r="C14" i="15"/>
  <c r="D14" s="1"/>
  <c r="F14" s="1"/>
  <c r="C14" i="17"/>
  <c r="D14" s="1"/>
  <c r="C13" i="15"/>
  <c r="D13" s="1"/>
  <c r="B13" i="17"/>
  <c r="C13" s="1"/>
  <c r="D13" s="1"/>
  <c r="C15" i="15"/>
  <c r="D15" s="1"/>
  <c r="G15" s="1"/>
  <c r="B15" i="17"/>
  <c r="C15" s="1"/>
  <c r="D15" s="1"/>
  <c r="F15" s="1"/>
  <c r="C16" i="13"/>
  <c r="D16" s="1"/>
  <c r="B16" i="15"/>
  <c r="B17" i="17"/>
  <c r="C17" s="1"/>
  <c r="D17" s="1"/>
  <c r="C17" i="15"/>
  <c r="D17" s="1"/>
  <c r="G14"/>
  <c r="G14" i="11"/>
  <c r="F14"/>
  <c r="G15"/>
  <c r="F14" i="13" l="1"/>
  <c r="F14" i="17"/>
  <c r="G14"/>
  <c r="G17" i="15"/>
  <c r="F17"/>
  <c r="G16" i="13"/>
  <c r="F16"/>
  <c r="G13" i="15"/>
  <c r="F13"/>
  <c r="F15"/>
  <c r="G15" i="17"/>
  <c r="F17"/>
  <c r="G17"/>
  <c r="C16" i="15"/>
  <c r="D16" s="1"/>
  <c r="B16" i="17"/>
  <c r="C16" s="1"/>
  <c r="D16" s="1"/>
  <c r="G13"/>
  <c r="F13"/>
  <c r="F17" i="10"/>
  <c r="F17" i="50" s="1"/>
  <c r="E19" i="31" l="1"/>
  <c r="F18" i="19"/>
  <c r="F18" i="51" s="1"/>
  <c r="D19" i="31"/>
  <c r="F16" i="15"/>
  <c r="G16"/>
  <c r="F16" i="17"/>
  <c r="G16"/>
  <c r="D9" i="19"/>
  <c r="D10"/>
  <c r="E5" i="10"/>
  <c r="D6"/>
  <c r="E6"/>
  <c r="E7"/>
  <c r="E8"/>
  <c r="D9"/>
  <c r="E9"/>
  <c r="D10"/>
  <c r="E10"/>
  <c r="D4"/>
  <c r="G19" i="31" l="1"/>
  <c r="F18" i="20"/>
  <c r="F19" i="31"/>
  <c r="F20"/>
  <c r="D6" i="7"/>
  <c r="E5" i="50" s="1"/>
  <c r="D7" i="7"/>
  <c r="D8"/>
  <c r="D9"/>
  <c r="D10"/>
  <c r="E9" i="50" s="1"/>
  <c r="D11" i="7"/>
  <c r="D5"/>
  <c r="F12" i="23"/>
  <c r="F11"/>
  <c r="F11" i="24" s="1"/>
  <c r="F11" i="25" s="1"/>
  <c r="F11" i="26" s="1"/>
  <c r="F10" i="23"/>
  <c r="F10" i="24" s="1"/>
  <c r="F10" i="25" s="1"/>
  <c r="F10" i="26" s="1"/>
  <c r="F9" i="23"/>
  <c r="F9" i="24" s="1"/>
  <c r="F9" i="25" s="1"/>
  <c r="F9" i="26" s="1"/>
  <c r="F8" i="23"/>
  <c r="F7"/>
  <c r="F7" i="24"/>
  <c r="F7" i="25" s="1"/>
  <c r="F7" i="26" s="1"/>
  <c r="F6" i="23"/>
  <c r="F6" i="24"/>
  <c r="F6" i="25" s="1"/>
  <c r="F6" i="26" s="1"/>
  <c r="E12" i="4"/>
  <c r="E11"/>
  <c r="E10"/>
  <c r="E8"/>
  <c r="E7"/>
  <c r="E6"/>
  <c r="C19" i="31"/>
  <c r="C23" s="1"/>
  <c r="B7" i="11"/>
  <c r="C7" s="1"/>
  <c r="D7" s="1"/>
  <c r="K1" i="27"/>
  <c r="B8" i="11"/>
  <c r="B9"/>
  <c r="B11"/>
  <c r="B12"/>
  <c r="C12" s="1"/>
  <c r="D12" s="1"/>
  <c r="B6"/>
  <c r="C6" s="1"/>
  <c r="D6" s="1"/>
  <c r="K1" i="26"/>
  <c r="K1" i="25"/>
  <c r="K1" i="24"/>
  <c r="K1" i="23"/>
  <c r="C11" i="4"/>
  <c r="D11" s="1"/>
  <c r="C12"/>
  <c r="D12" s="1"/>
  <c r="C6"/>
  <c r="D6" s="1"/>
  <c r="F6" s="1"/>
  <c r="E8" i="11"/>
  <c r="E11"/>
  <c r="B10"/>
  <c r="B10" i="13" s="1"/>
  <c r="B10" i="15" s="1"/>
  <c r="C9" i="6"/>
  <c r="D8" i="10" s="1"/>
  <c r="C8" i="6"/>
  <c r="D7" i="10" s="1"/>
  <c r="C6" i="6"/>
  <c r="D5" i="10" s="1"/>
  <c r="K16" i="28"/>
  <c r="D22"/>
  <c r="D8"/>
  <c r="C8"/>
  <c r="D24"/>
  <c r="D26"/>
  <c r="D23"/>
  <c r="D19"/>
  <c r="D20"/>
  <c r="D18"/>
  <c r="D12"/>
  <c r="D13"/>
  <c r="D14"/>
  <c r="D15"/>
  <c r="D11"/>
  <c r="D6"/>
  <c r="C6"/>
  <c r="D5"/>
  <c r="C5"/>
  <c r="D5" i="6"/>
  <c r="D4" i="50" s="1"/>
  <c r="G5" i="28"/>
  <c r="F6"/>
  <c r="G6"/>
  <c r="F7"/>
  <c r="G7"/>
  <c r="G8"/>
  <c r="G9"/>
  <c r="F10"/>
  <c r="G10"/>
  <c r="F11"/>
  <c r="G11"/>
  <c r="F12"/>
  <c r="G12"/>
  <c r="F13"/>
  <c r="G13"/>
  <c r="F14"/>
  <c r="G14"/>
  <c r="F15"/>
  <c r="G15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H27"/>
  <c r="F8" i="24"/>
  <c r="F8" i="25" s="1"/>
  <c r="F8" i="26" s="1"/>
  <c r="F12" i="24"/>
  <c r="F12" i="25" s="1"/>
  <c r="F12" i="26" s="1"/>
  <c r="D6" i="6"/>
  <c r="D5" i="50" s="1"/>
  <c r="D7" i="6"/>
  <c r="D6" i="50" s="1"/>
  <c r="D9" i="6"/>
  <c r="D8" i="50" s="1"/>
  <c r="E5" i="6"/>
  <c r="D4" i="19" s="1"/>
  <c r="D6" i="27"/>
  <c r="D7"/>
  <c r="D8"/>
  <c r="D9"/>
  <c r="D10"/>
  <c r="R11"/>
  <c r="D11" s="1"/>
  <c r="R12"/>
  <c r="D12" s="1"/>
  <c r="D6" i="26"/>
  <c r="D7"/>
  <c r="D8"/>
  <c r="D9"/>
  <c r="D10"/>
  <c r="R11"/>
  <c r="D11" s="1"/>
  <c r="R12"/>
  <c r="D12" s="1"/>
  <c r="D6" i="25"/>
  <c r="D7"/>
  <c r="D8"/>
  <c r="D9"/>
  <c r="D10"/>
  <c r="R11"/>
  <c r="D11" s="1"/>
  <c r="R12"/>
  <c r="D12" s="1"/>
  <c r="M7" i="24"/>
  <c r="M8"/>
  <c r="M6"/>
  <c r="D6"/>
  <c r="D7"/>
  <c r="D8"/>
  <c r="D9"/>
  <c r="D10"/>
  <c r="R11"/>
  <c r="D11" s="1"/>
  <c r="R12"/>
  <c r="D12" s="1"/>
  <c r="D6" i="23"/>
  <c r="N6"/>
  <c r="E6" s="1"/>
  <c r="M6"/>
  <c r="D7"/>
  <c r="N7"/>
  <c r="E7" s="1"/>
  <c r="C7" i="4"/>
  <c r="D7" s="1"/>
  <c r="M7" i="23"/>
  <c r="D8"/>
  <c r="N8"/>
  <c r="E8" s="1"/>
  <c r="C8" i="4"/>
  <c r="D8" s="1"/>
  <c r="M8" i="23"/>
  <c r="D9"/>
  <c r="N9"/>
  <c r="E9" s="1"/>
  <c r="C9" i="4"/>
  <c r="D9" s="1"/>
  <c r="F9" s="1"/>
  <c r="D10" i="23"/>
  <c r="N10"/>
  <c r="E10" s="1"/>
  <c r="C10" i="4"/>
  <c r="D10" s="1"/>
  <c r="R11" i="23"/>
  <c r="D11" s="1"/>
  <c r="N11"/>
  <c r="E11" s="1"/>
  <c r="M11"/>
  <c r="R12"/>
  <c r="D12" s="1"/>
  <c r="N12"/>
  <c r="E12" s="1"/>
  <c r="M12"/>
  <c r="E4" i="10"/>
  <c r="E20" s="1"/>
  <c r="E10" i="28"/>
  <c r="E11"/>
  <c r="E12"/>
  <c r="E13"/>
  <c r="E17"/>
  <c r="E20"/>
  <c r="E21"/>
  <c r="E22"/>
  <c r="E24"/>
  <c r="E25"/>
  <c r="E26"/>
  <c r="E18"/>
  <c r="E19"/>
  <c r="E23"/>
  <c r="M10" i="24"/>
  <c r="F5" i="6"/>
  <c r="D4" i="51" s="1"/>
  <c r="E6" i="6"/>
  <c r="D5" i="19" s="1"/>
  <c r="E10" i="11"/>
  <c r="E10" i="13" s="1"/>
  <c r="C8" i="11"/>
  <c r="D8" s="1"/>
  <c r="M12" i="25"/>
  <c r="E9" i="6"/>
  <c r="D8" i="19" s="1"/>
  <c r="E7" i="6"/>
  <c r="D6" i="19" s="1"/>
  <c r="E6" i="11"/>
  <c r="E6" i="13" s="1"/>
  <c r="E6" i="15" s="1"/>
  <c r="E6" i="17" s="1"/>
  <c r="E12" i="11"/>
  <c r="G5" i="6"/>
  <c r="D4" i="20" s="1"/>
  <c r="M11" i="25"/>
  <c r="F9" i="6"/>
  <c r="D8" i="51" s="1"/>
  <c r="M8" i="25"/>
  <c r="F11" i="6"/>
  <c r="D10" i="51" s="1"/>
  <c r="M12" i="24"/>
  <c r="M11"/>
  <c r="F8" i="28"/>
  <c r="G9" i="6" l="1"/>
  <c r="D8" i="20" s="1"/>
  <c r="G11" i="4"/>
  <c r="F11"/>
  <c r="N11" i="24"/>
  <c r="E11" s="1"/>
  <c r="G12" i="4"/>
  <c r="F12"/>
  <c r="K12" i="23" s="1"/>
  <c r="E11" i="7"/>
  <c r="E10" i="50"/>
  <c r="D20" i="10"/>
  <c r="N10" i="24"/>
  <c r="E10" s="1"/>
  <c r="E8" i="50"/>
  <c r="E8" i="7"/>
  <c r="F8" s="1"/>
  <c r="E7" i="50"/>
  <c r="E7" i="7"/>
  <c r="E6" i="50"/>
  <c r="N7" i="24"/>
  <c r="E7" s="1"/>
  <c r="N6"/>
  <c r="E6" s="1"/>
  <c r="E4" i="50"/>
  <c r="K19" i="26"/>
  <c r="J19"/>
  <c r="J19" i="25"/>
  <c r="K19"/>
  <c r="J19" i="27"/>
  <c r="K19"/>
  <c r="N9" i="24"/>
  <c r="E9" s="1"/>
  <c r="N8"/>
  <c r="E8" s="1"/>
  <c r="E5" i="7"/>
  <c r="F5" s="1"/>
  <c r="D19"/>
  <c r="K13" i="26"/>
  <c r="J14"/>
  <c r="K17"/>
  <c r="J18"/>
  <c r="J13"/>
  <c r="K16"/>
  <c r="J17"/>
  <c r="K15"/>
  <c r="J16"/>
  <c r="K14"/>
  <c r="J15"/>
  <c r="K18"/>
  <c r="K15" i="25"/>
  <c r="J16"/>
  <c r="K14"/>
  <c r="J15"/>
  <c r="K18"/>
  <c r="K13"/>
  <c r="J14"/>
  <c r="K17"/>
  <c r="J18"/>
  <c r="J13"/>
  <c r="K16"/>
  <c r="J17"/>
  <c r="K15" i="24"/>
  <c r="J16"/>
  <c r="K14"/>
  <c r="J15"/>
  <c r="K18"/>
  <c r="K13"/>
  <c r="J14"/>
  <c r="K17"/>
  <c r="J18"/>
  <c r="J13"/>
  <c r="K16"/>
  <c r="J17"/>
  <c r="K15" i="27"/>
  <c r="J16"/>
  <c r="K14"/>
  <c r="J15"/>
  <c r="K18"/>
  <c r="K13"/>
  <c r="J14"/>
  <c r="K17"/>
  <c r="J18"/>
  <c r="J13"/>
  <c r="K16"/>
  <c r="J17"/>
  <c r="K15" i="23"/>
  <c r="J16"/>
  <c r="K14"/>
  <c r="J15"/>
  <c r="K18"/>
  <c r="J17"/>
  <c r="K13"/>
  <c r="J14"/>
  <c r="K17"/>
  <c r="J18"/>
  <c r="K16"/>
  <c r="J13"/>
  <c r="M10" i="27"/>
  <c r="M10" i="25"/>
  <c r="M7"/>
  <c r="M6" i="27"/>
  <c r="F7" i="6"/>
  <c r="D6" i="51" s="1"/>
  <c r="F6" i="6"/>
  <c r="D5" i="51" s="1"/>
  <c r="M6" i="26"/>
  <c r="F5" i="28"/>
  <c r="H24"/>
  <c r="I24" s="1"/>
  <c r="K24" s="1"/>
  <c r="M10" i="23"/>
  <c r="M9"/>
  <c r="D8" i="6"/>
  <c r="D7" i="50" s="1"/>
  <c r="D19" s="1"/>
  <c r="F9" i="28"/>
  <c r="E10" i="15"/>
  <c r="E9" i="11"/>
  <c r="E7"/>
  <c r="E7" i="13" s="1"/>
  <c r="E7" i="15" s="1"/>
  <c r="M10" i="26"/>
  <c r="M6" i="25"/>
  <c r="E8" i="13"/>
  <c r="E8" i="15" s="1"/>
  <c r="G7" i="4"/>
  <c r="J7" i="23" s="1"/>
  <c r="F7" i="4"/>
  <c r="K7" i="23" s="1"/>
  <c r="G10" i="4"/>
  <c r="J10" i="23" s="1"/>
  <c r="F10" i="4"/>
  <c r="K10" i="23" s="1"/>
  <c r="G9" i="4"/>
  <c r="J9" i="23" s="1"/>
  <c r="J11"/>
  <c r="G6" i="4"/>
  <c r="C10" i="11"/>
  <c r="D10" s="1"/>
  <c r="F10" s="1"/>
  <c r="K10" i="24" s="1"/>
  <c r="G28" i="28"/>
  <c r="H12"/>
  <c r="I12" s="1"/>
  <c r="K12" s="1"/>
  <c r="H21"/>
  <c r="I21" s="1"/>
  <c r="K21" s="1"/>
  <c r="K11" i="23"/>
  <c r="N12" i="24"/>
  <c r="E12" s="1"/>
  <c r="E10" i="19"/>
  <c r="N12" i="25"/>
  <c r="E12" s="1"/>
  <c r="E4" i="19"/>
  <c r="E7"/>
  <c r="E9" i="7"/>
  <c r="F9" s="1"/>
  <c r="E10"/>
  <c r="E6"/>
  <c r="F6" s="1"/>
  <c r="C10" i="13"/>
  <c r="D10" s="1"/>
  <c r="G10" s="1"/>
  <c r="J10" i="25" s="1"/>
  <c r="H18" i="28"/>
  <c r="I18" s="1"/>
  <c r="K18" s="1"/>
  <c r="H22"/>
  <c r="I22" s="1"/>
  <c r="K22" s="1"/>
  <c r="H13"/>
  <c r="I13" s="1"/>
  <c r="K13" s="1"/>
  <c r="H20"/>
  <c r="I20" s="1"/>
  <c r="K20" s="1"/>
  <c r="H11"/>
  <c r="I11" s="1"/>
  <c r="K11" s="1"/>
  <c r="H26"/>
  <c r="I26" s="1"/>
  <c r="J12" i="23"/>
  <c r="C9" i="11"/>
  <c r="D9" s="1"/>
  <c r="B9" i="13"/>
  <c r="K9" i="23"/>
  <c r="H19" i="28"/>
  <c r="I19" s="1"/>
  <c r="K19" s="1"/>
  <c r="H17"/>
  <c r="I17" s="1"/>
  <c r="K17" s="1"/>
  <c r="H10"/>
  <c r="I10" s="1"/>
  <c r="K10" s="1"/>
  <c r="C10" i="15"/>
  <c r="D10" s="1"/>
  <c r="B10" i="17"/>
  <c r="C10" s="1"/>
  <c r="D10" s="1"/>
  <c r="F7" i="11"/>
  <c r="K7" i="24" s="1"/>
  <c r="E10" i="17"/>
  <c r="F12" i="27"/>
  <c r="B12" i="13"/>
  <c r="B12" i="15" s="1"/>
  <c r="B7" i="13"/>
  <c r="C7" s="1"/>
  <c r="D7" s="1"/>
  <c r="H23" i="28"/>
  <c r="I23" s="1"/>
  <c r="K23" s="1"/>
  <c r="H25"/>
  <c r="I25" s="1"/>
  <c r="B6" i="13"/>
  <c r="C6" s="1"/>
  <c r="D6" s="1"/>
  <c r="F6" i="27"/>
  <c r="F10"/>
  <c r="C11" i="11"/>
  <c r="D11" s="1"/>
  <c r="G11" s="1"/>
  <c r="J11" i="24" s="1"/>
  <c r="F7" i="27"/>
  <c r="F11"/>
  <c r="F8"/>
  <c r="F9"/>
  <c r="B11" i="13"/>
  <c r="B8"/>
  <c r="E12"/>
  <c r="E12" i="15" s="1"/>
  <c r="E8" i="17"/>
  <c r="E7"/>
  <c r="E11" i="13"/>
  <c r="F12" i="11"/>
  <c r="K12" i="24" s="1"/>
  <c r="G12" i="11"/>
  <c r="J12" i="24" s="1"/>
  <c r="F11" i="11"/>
  <c r="K11" i="24" s="1"/>
  <c r="F8" i="11"/>
  <c r="K8" i="24" s="1"/>
  <c r="G8" i="11"/>
  <c r="J8" i="24" s="1"/>
  <c r="F8" i="4"/>
  <c r="K8" i="23" s="1"/>
  <c r="G8" i="4"/>
  <c r="J8" i="23" s="1"/>
  <c r="F6" i="11"/>
  <c r="K6" i="24" s="1"/>
  <c r="G6" i="11"/>
  <c r="J6" i="24" s="1"/>
  <c r="K6" i="23"/>
  <c r="J6"/>
  <c r="G11" i="6"/>
  <c r="D10" i="20" s="1"/>
  <c r="M12" i="26"/>
  <c r="D9" i="20"/>
  <c r="M11" i="26"/>
  <c r="C12" i="13" l="1"/>
  <c r="D12" s="1"/>
  <c r="G10" i="11"/>
  <c r="J10" i="24" s="1"/>
  <c r="F10" i="7"/>
  <c r="G10" s="1"/>
  <c r="F11"/>
  <c r="E10" i="51" s="1"/>
  <c r="E6" i="19"/>
  <c r="F7" i="7"/>
  <c r="G7" s="1"/>
  <c r="N9" i="25"/>
  <c r="E9" s="1"/>
  <c r="N9" i="26"/>
  <c r="E9" s="1"/>
  <c r="N8" i="25"/>
  <c r="E8" s="1"/>
  <c r="F28" i="28"/>
  <c r="E19" i="50"/>
  <c r="E19" i="7"/>
  <c r="N6" i="25"/>
  <c r="E6" s="1"/>
  <c r="G5" i="7"/>
  <c r="G11"/>
  <c r="G7" i="11"/>
  <c r="J7" i="24" s="1"/>
  <c r="E9" i="13"/>
  <c r="M9" i="24"/>
  <c r="E8" i="6"/>
  <c r="M8" i="26"/>
  <c r="G7" i="6"/>
  <c r="G6"/>
  <c r="M7" i="26"/>
  <c r="G10" i="17"/>
  <c r="J10" i="27" s="1"/>
  <c r="F10" i="13"/>
  <c r="K10" i="25" s="1"/>
  <c r="G9" i="11"/>
  <c r="J9" i="24" s="1"/>
  <c r="F9" i="11"/>
  <c r="K9" i="24" s="1"/>
  <c r="E5" i="19"/>
  <c r="N7" i="25"/>
  <c r="E7" s="1"/>
  <c r="E8" i="19"/>
  <c r="N10" i="25"/>
  <c r="E10" s="1"/>
  <c r="N6" i="26"/>
  <c r="E6" s="1"/>
  <c r="E9" i="19"/>
  <c r="N11" i="25"/>
  <c r="E11" s="1"/>
  <c r="G6" i="13"/>
  <c r="J6" i="25" s="1"/>
  <c r="F6" i="13"/>
  <c r="K6" i="25" s="1"/>
  <c r="H20" i="31"/>
  <c r="B6" i="15"/>
  <c r="C6" s="1"/>
  <c r="D6" s="1"/>
  <c r="B7"/>
  <c r="H19" i="31"/>
  <c r="B9" i="15"/>
  <c r="C9" i="13"/>
  <c r="D9" s="1"/>
  <c r="F10" i="17"/>
  <c r="K10" i="27" s="1"/>
  <c r="G10" i="15"/>
  <c r="J10" i="26" s="1"/>
  <c r="F10" i="15"/>
  <c r="K10" i="26" s="1"/>
  <c r="B11" i="15"/>
  <c r="C11" i="13"/>
  <c r="D11" s="1"/>
  <c r="F11" s="1"/>
  <c r="K11" i="25" s="1"/>
  <c r="C8" i="13"/>
  <c r="D8" s="1"/>
  <c r="B8" i="15"/>
  <c r="G7" i="13"/>
  <c r="J7" i="25" s="1"/>
  <c r="F7" i="13"/>
  <c r="K7" i="25" s="1"/>
  <c r="E12" i="17"/>
  <c r="E11" i="15"/>
  <c r="F12" i="13"/>
  <c r="K12" i="25" s="1"/>
  <c r="G12" i="13"/>
  <c r="J12" i="25" s="1"/>
  <c r="C12" i="15"/>
  <c r="D12" s="1"/>
  <c r="B12" i="17"/>
  <c r="M12" i="27"/>
  <c r="M11"/>
  <c r="N12" i="26" l="1"/>
  <c r="E12" s="1"/>
  <c r="E9" i="15"/>
  <c r="E9" i="51"/>
  <c r="E6"/>
  <c r="F19" i="7"/>
  <c r="N8" i="26"/>
  <c r="E8" s="1"/>
  <c r="G8" i="7"/>
  <c r="N9" i="27" s="1"/>
  <c r="E9" s="1"/>
  <c r="E7" i="51"/>
  <c r="G9" i="7"/>
  <c r="E8" i="51"/>
  <c r="G6" i="7"/>
  <c r="E5" i="51"/>
  <c r="E4"/>
  <c r="E20" i="19"/>
  <c r="D5" i="20"/>
  <c r="M7" i="27"/>
  <c r="D7" i="19"/>
  <c r="D20" s="1"/>
  <c r="M9" i="25"/>
  <c r="F8" i="6"/>
  <c r="D6" i="20"/>
  <c r="M8" i="27"/>
  <c r="B6" i="17"/>
  <c r="C6" s="1"/>
  <c r="D6" s="1"/>
  <c r="G6" s="1"/>
  <c r="C7" i="15"/>
  <c r="D7" s="1"/>
  <c r="F7" s="1"/>
  <c r="K7" i="26" s="1"/>
  <c r="N10"/>
  <c r="E10" s="1"/>
  <c r="N11"/>
  <c r="E11" s="1"/>
  <c r="N7"/>
  <c r="E7" s="1"/>
  <c r="E6" i="20"/>
  <c r="N8" i="27"/>
  <c r="E8" s="1"/>
  <c r="E7" i="20"/>
  <c r="E10"/>
  <c r="N12" i="27"/>
  <c r="E12" s="1"/>
  <c r="N6"/>
  <c r="E6" s="1"/>
  <c r="E4" i="20"/>
  <c r="B7" i="17"/>
  <c r="C7" s="1"/>
  <c r="D7" s="1"/>
  <c r="B9"/>
  <c r="C9" s="1"/>
  <c r="D9" s="1"/>
  <c r="C9" i="15"/>
  <c r="D9" s="1"/>
  <c r="G9" i="13"/>
  <c r="J9" i="25" s="1"/>
  <c r="F9" i="13"/>
  <c r="K9" i="25" s="1"/>
  <c r="G8" i="13"/>
  <c r="J8" i="25" s="1"/>
  <c r="F8" i="13"/>
  <c r="K8" i="25" s="1"/>
  <c r="C11" i="15"/>
  <c r="D11" s="1"/>
  <c r="B11" i="17"/>
  <c r="C11" s="1"/>
  <c r="D11" s="1"/>
  <c r="G11" i="13"/>
  <c r="J11" i="25" s="1"/>
  <c r="C8" i="15"/>
  <c r="D8" s="1"/>
  <c r="B8" i="17"/>
  <c r="C8" s="1"/>
  <c r="D8" s="1"/>
  <c r="G7" i="15"/>
  <c r="J7" i="26" s="1"/>
  <c r="F6" i="15"/>
  <c r="K6" i="26" s="1"/>
  <c r="G6" i="15"/>
  <c r="J6" i="26" s="1"/>
  <c r="E11" i="17"/>
  <c r="F12" i="15"/>
  <c r="G12"/>
  <c r="J12" i="26" s="1"/>
  <c r="C12" i="17"/>
  <c r="D12" s="1"/>
  <c r="E9" l="1"/>
  <c r="D7" i="51"/>
  <c r="D20" s="1"/>
  <c r="F6" i="17"/>
  <c r="E20" i="51"/>
  <c r="G19" i="7"/>
  <c r="G9" i="17"/>
  <c r="G8" i="6"/>
  <c r="M9" i="26"/>
  <c r="F9" i="17"/>
  <c r="K9" i="27" s="1"/>
  <c r="E5" i="20"/>
  <c r="N7" i="27"/>
  <c r="E7" s="1"/>
  <c r="E9" i="20"/>
  <c r="N11" i="27"/>
  <c r="E11" s="1"/>
  <c r="E8" i="20"/>
  <c r="N10" i="27"/>
  <c r="E10" s="1"/>
  <c r="F11" i="15"/>
  <c r="K11" i="26" s="1"/>
  <c r="G11" i="15"/>
  <c r="J11" i="26" s="1"/>
  <c r="G9" i="15"/>
  <c r="J9" i="26" s="1"/>
  <c r="F9" i="15"/>
  <c r="K9" i="26" s="1"/>
  <c r="K6" i="27"/>
  <c r="F8" i="15"/>
  <c r="K8" i="26" s="1"/>
  <c r="G8" i="15"/>
  <c r="J8" i="26" s="1"/>
  <c r="J6" i="27"/>
  <c r="F8" i="17"/>
  <c r="G8"/>
  <c r="J9" i="27"/>
  <c r="G7" i="17"/>
  <c r="F7"/>
  <c r="G11"/>
  <c r="F11"/>
  <c r="F12"/>
  <c r="G12"/>
  <c r="K12" i="26"/>
  <c r="E20" i="20" l="1"/>
  <c r="D7"/>
  <c r="D20" s="1"/>
  <c r="M9" i="27"/>
  <c r="K11"/>
  <c r="K7"/>
  <c r="J8"/>
  <c r="J12"/>
  <c r="J11"/>
  <c r="J7"/>
  <c r="K8"/>
  <c r="K12"/>
  <c r="F9" i="33" l="1"/>
  <c r="H6" i="4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6" i="11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6" i="13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6" i="15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6" i="17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E5" i="28"/>
  <c r="H5"/>
  <c r="I5"/>
  <c r="K5"/>
  <c r="E6"/>
  <c r="H6"/>
  <c r="I6"/>
  <c r="K6"/>
  <c r="E7"/>
  <c r="H7"/>
  <c r="I7"/>
  <c r="K7"/>
  <c r="E8"/>
  <c r="H8"/>
  <c r="I8"/>
  <c r="K8"/>
  <c r="E9"/>
  <c r="H9"/>
  <c r="I9"/>
  <c r="K9"/>
  <c r="E14"/>
  <c r="H14"/>
  <c r="I14"/>
  <c r="K14"/>
  <c r="E15"/>
  <c r="H15"/>
  <c r="I15"/>
  <c r="K15"/>
  <c r="E28"/>
  <c r="H28"/>
  <c r="C4" i="10"/>
  <c r="F4"/>
  <c r="C5"/>
  <c r="F5"/>
  <c r="C6"/>
  <c r="F6"/>
  <c r="C7"/>
  <c r="F7"/>
  <c r="C8"/>
  <c r="F8"/>
  <c r="C9"/>
  <c r="F9"/>
  <c r="C10"/>
  <c r="F10"/>
  <c r="C11"/>
  <c r="F11"/>
  <c r="C12"/>
  <c r="F12"/>
  <c r="C13"/>
  <c r="F13"/>
  <c r="C14"/>
  <c r="F14"/>
  <c r="C15"/>
  <c r="F15"/>
  <c r="C16"/>
  <c r="F16"/>
  <c r="C20"/>
  <c r="F20"/>
  <c r="D5" i="31"/>
  <c r="E5"/>
  <c r="F5"/>
  <c r="G5"/>
  <c r="H5"/>
  <c r="D6"/>
  <c r="E6"/>
  <c r="F6"/>
  <c r="G6"/>
  <c r="H6"/>
  <c r="D7"/>
  <c r="E7"/>
  <c r="F7"/>
  <c r="G7"/>
  <c r="H7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F18"/>
  <c r="G18"/>
  <c r="H18"/>
  <c r="D23"/>
  <c r="E23"/>
  <c r="F23"/>
  <c r="G23"/>
  <c r="H23"/>
  <c r="C4" i="50"/>
  <c r="F4"/>
  <c r="C5"/>
  <c r="F5"/>
  <c r="C6"/>
  <c r="F6"/>
  <c r="C7"/>
  <c r="F7"/>
  <c r="C8"/>
  <c r="F8"/>
  <c r="C9"/>
  <c r="F9"/>
  <c r="C10"/>
  <c r="F10"/>
  <c r="C11"/>
  <c r="F11"/>
  <c r="C12"/>
  <c r="F12"/>
  <c r="C13"/>
  <c r="F13"/>
  <c r="C14"/>
  <c r="F14"/>
  <c r="C15"/>
  <c r="F15"/>
  <c r="C16"/>
  <c r="F16"/>
  <c r="C19"/>
  <c r="F19"/>
  <c r="C4" i="19"/>
  <c r="F4"/>
  <c r="C5"/>
  <c r="F5"/>
  <c r="C6"/>
  <c r="F6"/>
  <c r="C7"/>
  <c r="F7"/>
  <c r="C8"/>
  <c r="F8"/>
  <c r="C9"/>
  <c r="F9"/>
  <c r="C10"/>
  <c r="F10"/>
  <c r="C11"/>
  <c r="F11"/>
  <c r="C12"/>
  <c r="F12"/>
  <c r="C13"/>
  <c r="F13"/>
  <c r="C14"/>
  <c r="F14"/>
  <c r="C15"/>
  <c r="F15"/>
  <c r="C16"/>
  <c r="F16"/>
  <c r="C17"/>
  <c r="F17"/>
  <c r="C20"/>
  <c r="F20"/>
  <c r="C4" i="51"/>
  <c r="F4"/>
  <c r="C5"/>
  <c r="F5"/>
  <c r="C6"/>
  <c r="F6"/>
  <c r="C7"/>
  <c r="F7"/>
  <c r="C8"/>
  <c r="F8"/>
  <c r="C9"/>
  <c r="F9"/>
  <c r="C10"/>
  <c r="F10"/>
  <c r="C11"/>
  <c r="F11"/>
  <c r="C12"/>
  <c r="F12"/>
  <c r="C13"/>
  <c r="F13"/>
  <c r="C14"/>
  <c r="F14"/>
  <c r="C15"/>
  <c r="F15"/>
  <c r="C16"/>
  <c r="F16"/>
  <c r="C17"/>
  <c r="F17"/>
  <c r="C20"/>
  <c r="F20"/>
  <c r="C4" i="20"/>
  <c r="F4"/>
  <c r="C5"/>
  <c r="F5"/>
  <c r="C6"/>
  <c r="F6"/>
  <c r="C7"/>
  <c r="F7"/>
  <c r="C8"/>
  <c r="F8"/>
  <c r="C9"/>
  <c r="F9"/>
  <c r="C10"/>
  <c r="F10"/>
  <c r="C11"/>
  <c r="F11"/>
  <c r="C12"/>
  <c r="F12"/>
  <c r="C13"/>
  <c r="F13"/>
  <c r="C14"/>
  <c r="F14"/>
  <c r="C15"/>
  <c r="F15"/>
  <c r="C16"/>
  <c r="F16"/>
  <c r="C17"/>
  <c r="F17"/>
  <c r="C20"/>
  <c r="F20"/>
  <c r="G6" i="23"/>
  <c r="H6"/>
  <c r="L6"/>
  <c r="P6"/>
  <c r="G7"/>
  <c r="H7"/>
  <c r="L7"/>
  <c r="P7"/>
  <c r="G8"/>
  <c r="H8"/>
  <c r="L8"/>
  <c r="P8"/>
  <c r="G9"/>
  <c r="H9"/>
  <c r="L9"/>
  <c r="P9"/>
  <c r="G10"/>
  <c r="H10"/>
  <c r="L10"/>
  <c r="P10"/>
  <c r="G11"/>
  <c r="H11"/>
  <c r="L11"/>
  <c r="P11"/>
  <c r="G12"/>
  <c r="H12"/>
  <c r="L12"/>
  <c r="P12"/>
  <c r="G13"/>
  <c r="H13"/>
  <c r="L13"/>
  <c r="P13"/>
  <c r="G14"/>
  <c r="H14"/>
  <c r="L14"/>
  <c r="P14"/>
  <c r="G15"/>
  <c r="H15"/>
  <c r="L15"/>
  <c r="P15"/>
  <c r="G16"/>
  <c r="H16"/>
  <c r="L16"/>
  <c r="P16"/>
  <c r="G17"/>
  <c r="H17"/>
  <c r="L17"/>
  <c r="P17"/>
  <c r="G18"/>
  <c r="H18"/>
  <c r="L18"/>
  <c r="P18"/>
  <c r="G6" i="24"/>
  <c r="H6"/>
  <c r="L6"/>
  <c r="P6"/>
  <c r="G7"/>
  <c r="H7"/>
  <c r="L7"/>
  <c r="P7"/>
  <c r="G8"/>
  <c r="H8"/>
  <c r="L8"/>
  <c r="P8"/>
  <c r="G9"/>
  <c r="H9"/>
  <c r="L9"/>
  <c r="P9"/>
  <c r="G10"/>
  <c r="H10"/>
  <c r="L10"/>
  <c r="P10"/>
  <c r="G11"/>
  <c r="H11"/>
  <c r="L11"/>
  <c r="P11"/>
  <c r="G12"/>
  <c r="H12"/>
  <c r="L12"/>
  <c r="P12"/>
  <c r="G13"/>
  <c r="H13"/>
  <c r="L13"/>
  <c r="P13"/>
  <c r="G14"/>
  <c r="H14"/>
  <c r="L14"/>
  <c r="P14"/>
  <c r="G15"/>
  <c r="H15"/>
  <c r="L15"/>
  <c r="P15"/>
  <c r="G16"/>
  <c r="H16"/>
  <c r="L16"/>
  <c r="P16"/>
  <c r="G17"/>
  <c r="H17"/>
  <c r="L17"/>
  <c r="P17"/>
  <c r="G18"/>
  <c r="H18"/>
  <c r="L18"/>
  <c r="P18"/>
  <c r="G6" i="25"/>
  <c r="H6"/>
  <c r="L6"/>
  <c r="P6"/>
  <c r="G7"/>
  <c r="H7"/>
  <c r="L7"/>
  <c r="P7"/>
  <c r="G8"/>
  <c r="H8"/>
  <c r="L8"/>
  <c r="P8"/>
  <c r="G9"/>
  <c r="H9"/>
  <c r="L9"/>
  <c r="P9"/>
  <c r="G10"/>
  <c r="H10"/>
  <c r="L10"/>
  <c r="P10"/>
  <c r="G11"/>
  <c r="H11"/>
  <c r="L11"/>
  <c r="P11"/>
  <c r="G12"/>
  <c r="H12"/>
  <c r="L12"/>
  <c r="P12"/>
  <c r="G13"/>
  <c r="H13"/>
  <c r="L13"/>
  <c r="P13"/>
  <c r="G14"/>
  <c r="H14"/>
  <c r="L14"/>
  <c r="P14"/>
  <c r="G15"/>
  <c r="H15"/>
  <c r="L15"/>
  <c r="P15"/>
  <c r="G16"/>
  <c r="H16"/>
  <c r="L16"/>
  <c r="P16"/>
  <c r="G17"/>
  <c r="H17"/>
  <c r="L17"/>
  <c r="P17"/>
  <c r="G18"/>
  <c r="H18"/>
  <c r="L18"/>
  <c r="P18"/>
  <c r="G19"/>
  <c r="H19"/>
  <c r="L19"/>
  <c r="P19"/>
  <c r="G6" i="26"/>
  <c r="H6"/>
  <c r="L6"/>
  <c r="P6"/>
  <c r="G7"/>
  <c r="H7"/>
  <c r="L7"/>
  <c r="P7"/>
  <c r="G8"/>
  <c r="H8"/>
  <c r="L8"/>
  <c r="P8"/>
  <c r="G9"/>
  <c r="H9"/>
  <c r="L9"/>
  <c r="P9"/>
  <c r="G10"/>
  <c r="H10"/>
  <c r="L10"/>
  <c r="P10"/>
  <c r="G11"/>
  <c r="H11"/>
  <c r="L11"/>
  <c r="P11"/>
  <c r="G12"/>
  <c r="H12"/>
  <c r="L12"/>
  <c r="P12"/>
  <c r="G13"/>
  <c r="H13"/>
  <c r="L13"/>
  <c r="P13"/>
  <c r="G14"/>
  <c r="H14"/>
  <c r="L14"/>
  <c r="P14"/>
  <c r="G15"/>
  <c r="H15"/>
  <c r="L15"/>
  <c r="P15"/>
  <c r="G16"/>
  <c r="H16"/>
  <c r="L16"/>
  <c r="P16"/>
  <c r="G17"/>
  <c r="H17"/>
  <c r="L17"/>
  <c r="P17"/>
  <c r="G18"/>
  <c r="H18"/>
  <c r="L18"/>
  <c r="P18"/>
  <c r="G19"/>
  <c r="H19"/>
  <c r="L19"/>
  <c r="P19"/>
  <c r="G6" i="27"/>
  <c r="H6"/>
  <c r="L6"/>
  <c r="P6"/>
  <c r="G7"/>
  <c r="H7"/>
  <c r="L7"/>
  <c r="P7"/>
  <c r="G8"/>
  <c r="H8"/>
  <c r="L8"/>
  <c r="P8"/>
  <c r="G9"/>
  <c r="H9"/>
  <c r="L9"/>
  <c r="P9"/>
  <c r="G10"/>
  <c r="H10"/>
  <c r="L10"/>
  <c r="P10"/>
  <c r="G11"/>
  <c r="H11"/>
  <c r="L11"/>
  <c r="P11"/>
  <c r="G12"/>
  <c r="H12"/>
  <c r="L12"/>
  <c r="P12"/>
  <c r="G13"/>
  <c r="H13"/>
  <c r="L13"/>
  <c r="P13"/>
  <c r="G14"/>
  <c r="H14"/>
  <c r="L14"/>
  <c r="P14"/>
  <c r="G15"/>
  <c r="H15"/>
  <c r="L15"/>
  <c r="P15"/>
  <c r="G16"/>
  <c r="H16"/>
  <c r="L16"/>
  <c r="P16"/>
  <c r="G17"/>
  <c r="H17"/>
  <c r="L17"/>
  <c r="P17"/>
  <c r="G18"/>
  <c r="H18"/>
  <c r="L18"/>
  <c r="P18"/>
  <c r="G19"/>
  <c r="H19"/>
  <c r="L19"/>
  <c r="P19"/>
</calcChain>
</file>

<file path=xl/sharedStrings.xml><?xml version="1.0" encoding="utf-8"?>
<sst xmlns="http://schemas.openxmlformats.org/spreadsheetml/2006/main" count="598" uniqueCount="152">
  <si>
    <t>Return on Capital Employed (RoCE)</t>
  </si>
  <si>
    <t>(Rs in Crs)</t>
  </si>
  <si>
    <t>Name of the Station</t>
  </si>
  <si>
    <t>70% loan</t>
  </si>
  <si>
    <t>Net Equity</t>
  </si>
  <si>
    <t>Net Loans.</t>
  </si>
  <si>
    <t>Working Capital</t>
  </si>
  <si>
    <t>Capital Employed</t>
  </si>
  <si>
    <t>RoCE</t>
  </si>
  <si>
    <t>OLD Stations</t>
  </si>
  <si>
    <t>Sileru</t>
  </si>
  <si>
    <t>Nagarjuna Sagar</t>
  </si>
  <si>
    <t>Srisailam Right bank</t>
  </si>
  <si>
    <t>Small Hydel</t>
  </si>
  <si>
    <t>Mini Hydel</t>
  </si>
  <si>
    <t>Ramagiri</t>
  </si>
  <si>
    <t>KTPS(ABC)</t>
  </si>
  <si>
    <t>KTPS(Vth)</t>
  </si>
  <si>
    <t>RTS(B)</t>
  </si>
  <si>
    <t>Dr.NTTPS</t>
  </si>
  <si>
    <t>RTPP-I</t>
  </si>
  <si>
    <t>Total</t>
  </si>
  <si>
    <t>New Stations</t>
  </si>
  <si>
    <t>SLBPH</t>
  </si>
  <si>
    <t>RTPP stage II</t>
  </si>
  <si>
    <t>Dr NTTPS stage IV</t>
  </si>
  <si>
    <t>KTPP-I</t>
  </si>
  <si>
    <t>Priyadarsini Jurala  HES</t>
  </si>
  <si>
    <t>Sriram Sagar stage II (Pochampad)</t>
  </si>
  <si>
    <t>RTPP stage III</t>
  </si>
  <si>
    <t>KTPS stage VI</t>
  </si>
  <si>
    <t>Lower Jurala</t>
  </si>
  <si>
    <t>Annexure II</t>
  </si>
  <si>
    <t>Depreciation</t>
  </si>
  <si>
    <t xml:space="preserve">(Rs in Crs)     </t>
  </si>
  <si>
    <t>S.No</t>
  </si>
  <si>
    <t xml:space="preserve"> Station</t>
  </si>
  <si>
    <t>Annexure-III</t>
  </si>
  <si>
    <t>Station</t>
  </si>
  <si>
    <t>O&amp;M</t>
  </si>
  <si>
    <t>Fixed charges</t>
  </si>
  <si>
    <t>Sileru Complex</t>
  </si>
  <si>
    <t>Interstate Power (AP share)</t>
  </si>
  <si>
    <t>Fixed charges (2014-15)</t>
  </si>
  <si>
    <t>DSTPP</t>
  </si>
  <si>
    <t xml:space="preserve"> Working Capital</t>
  </si>
  <si>
    <t>SI.No</t>
  </si>
  <si>
    <t>Capacity</t>
  </si>
  <si>
    <t>Cost of Fuel (30 days)</t>
  </si>
  <si>
    <t>O&amp;M  (1Month)</t>
  </si>
  <si>
    <t>Spares (1 %)</t>
  </si>
  <si>
    <t>Recievables (2 Months)</t>
  </si>
  <si>
    <t>Total Working Capital</t>
  </si>
  <si>
    <t>IWC</t>
  </si>
  <si>
    <t>Int on net Loan</t>
  </si>
  <si>
    <t>Int on Equity</t>
  </si>
  <si>
    <t>DEP</t>
  </si>
  <si>
    <t>SILERU</t>
  </si>
  <si>
    <t>SRBPH</t>
  </si>
  <si>
    <t>Dr. NTTPS</t>
  </si>
  <si>
    <t>Gen/design Energy</t>
  </si>
  <si>
    <t>Fixed cost Kwh</t>
  </si>
  <si>
    <t>Variable cost  Kwh</t>
  </si>
  <si>
    <t>Total cost Kwh</t>
  </si>
  <si>
    <t>Nagarjuna Sagar RCPH</t>
  </si>
  <si>
    <t>PABR</t>
  </si>
  <si>
    <t>Chettipeta</t>
  </si>
  <si>
    <t>chettipeta</t>
  </si>
  <si>
    <t>NS RCPH</t>
  </si>
  <si>
    <t>After considering  6.64% escalation</t>
  </si>
  <si>
    <t>Interest on Pension bonds (Over and above schedule)</t>
  </si>
  <si>
    <t>RoCE @</t>
  </si>
  <si>
    <t>Assumption :</t>
  </si>
  <si>
    <t>Roce</t>
  </si>
  <si>
    <t>Capacity in MW</t>
  </si>
  <si>
    <t>Pensions</t>
  </si>
  <si>
    <t>Station Name</t>
  </si>
  <si>
    <t>GFA as on 31.3.2009</t>
  </si>
  <si>
    <t>Additional Capex 2009-14</t>
  </si>
  <si>
    <t>Dr NTTPS</t>
  </si>
  <si>
    <t>RTPP I</t>
  </si>
  <si>
    <t>Annexure I-A</t>
  </si>
  <si>
    <t>(RS in Crs)</t>
  </si>
  <si>
    <t>FY 2019-2020</t>
  </si>
  <si>
    <t>FY 2020-2021</t>
  </si>
  <si>
    <t>FY 2021-2022</t>
  </si>
  <si>
    <t>FY 2022-2023</t>
  </si>
  <si>
    <t>FY 2023-2024</t>
  </si>
  <si>
    <t xml:space="preserve">Accumulated depreciation as on 31.3.19 </t>
  </si>
  <si>
    <t>Annexure - I  (2019-20)</t>
  </si>
  <si>
    <t>2019-20</t>
  </si>
  <si>
    <t>2020-21</t>
  </si>
  <si>
    <t>2021-22</t>
  </si>
  <si>
    <t>2022-23</t>
  </si>
  <si>
    <t>2023-24</t>
  </si>
  <si>
    <t>Annexure - I  (2020-21)</t>
  </si>
  <si>
    <t>Annexure - I (2021-22)</t>
  </si>
  <si>
    <t>Annexure - I (2022-23)</t>
  </si>
  <si>
    <t>Annexure - I  (2023-24)</t>
  </si>
  <si>
    <t>Fixed charges (2019-20)</t>
  </si>
  <si>
    <t>Fixed charges (2020-21)</t>
  </si>
  <si>
    <t>Fixed charges (2021-22)</t>
  </si>
  <si>
    <t>Fixed charges (2022-23)</t>
  </si>
  <si>
    <t>Fixed charges (2023-24)</t>
  </si>
  <si>
    <t>NSRCPH</t>
  </si>
  <si>
    <t>PABR PH</t>
  </si>
  <si>
    <t>Accumulated depreciation as on 31.3.20</t>
  </si>
  <si>
    <t xml:space="preserve">Accumulated depreciation as on 31.3.21 </t>
  </si>
  <si>
    <t>Accumulated depreciation as on 31.3.22</t>
  </si>
  <si>
    <t>Accumulated depreciation as on 31.3.23</t>
  </si>
  <si>
    <t>As per APERC Reg</t>
  </si>
  <si>
    <t>Escalation</t>
  </si>
  <si>
    <t>Annexure-IV(2019-20)</t>
  </si>
  <si>
    <t>Annexure-IV(2020-21)</t>
  </si>
  <si>
    <t>Annexure-IV(2021-22)</t>
  </si>
  <si>
    <t>Annexure-IV(2022-23)</t>
  </si>
  <si>
    <t>Annexure-IV(2023-24)</t>
  </si>
  <si>
    <t>O&amp;M charges    (Rs in Crs) :</t>
  </si>
  <si>
    <t>VC in Rs/kwh</t>
  </si>
  <si>
    <t xml:space="preserve">Fixed charges </t>
  </si>
  <si>
    <t>Variable charges</t>
  </si>
  <si>
    <t xml:space="preserve">Assumed pension for 2019-20 to be </t>
  </si>
  <si>
    <t>Crs</t>
  </si>
  <si>
    <t>RTPP -II</t>
  </si>
  <si>
    <t>Dr NTTPS IV</t>
  </si>
  <si>
    <t>RTPP III</t>
  </si>
  <si>
    <t>NSTP HES</t>
  </si>
  <si>
    <t>RTPP IV</t>
  </si>
  <si>
    <t>RTPP II</t>
  </si>
  <si>
    <t>Additional Capex 2014-19</t>
  </si>
  <si>
    <t>Dr NTTPS V</t>
  </si>
  <si>
    <t xml:space="preserve">Dr NTTPS V </t>
  </si>
  <si>
    <t>G.F.A. as on 31.3.19</t>
  </si>
  <si>
    <t>30% Equity on 31.3.19 GFA.</t>
  </si>
  <si>
    <t>Dr NTTPS V*</t>
  </si>
  <si>
    <t xml:space="preserve">Additional Capitalisation </t>
  </si>
  <si>
    <t>Fixed charges (2019-24)</t>
  </si>
  <si>
    <t>Polavaram HES</t>
  </si>
  <si>
    <t>Polavarm HES</t>
  </si>
  <si>
    <t>Polavaram HES*</t>
  </si>
  <si>
    <t>Polavaram HES**</t>
  </si>
  <si>
    <t>*</t>
  </si>
  <si>
    <t>**</t>
  </si>
  <si>
    <t>Dr NTTPS V is considered from December, 2019</t>
  </si>
  <si>
    <t>Polavaram HES - 3 units are considered from Nov'2021, there after  remaining 9 units are considered with an interval of two months for each unit is considered .</t>
  </si>
  <si>
    <t>Prior period O&amp;M expenses due to pay revision for  FY 2018-19</t>
  </si>
  <si>
    <t>GFA as on 31.3.2019</t>
  </si>
  <si>
    <t>GFA as on 31.3.2014 (As approved by APERC)</t>
  </si>
  <si>
    <t xml:space="preserve"> The Fixed cost for RTPP stage IV for the year 2018-19 not claimed in 2014-19 hence the same was claimed now @25% availability as a prior period cost.</t>
  </si>
  <si>
    <t>#</t>
  </si>
  <si>
    <r>
      <t xml:space="preserve">RTPP IV 2018-19  Fixed cost </t>
    </r>
    <r>
      <rPr>
        <b/>
        <vertAlign val="superscript"/>
        <sz val="11"/>
        <rFont val="Calibri"/>
        <family val="2"/>
        <scheme val="minor"/>
      </rPr>
      <t>#</t>
    </r>
  </si>
  <si>
    <t>Recievables   (2 Months)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</si>
</sst>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0" fillId="0" borderId="0" xfId="0" applyNumberFormat="1"/>
    <xf numFmtId="0" fontId="11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10" fillId="0" borderId="0" xfId="0" applyFont="1"/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10" fillId="0" borderId="0" xfId="0" applyFont="1" applyBorder="1"/>
    <xf numFmtId="2" fontId="10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9" fillId="0" borderId="0" xfId="0" applyFont="1"/>
    <xf numFmtId="0" fontId="9" fillId="0" borderId="4" xfId="0" applyFont="1" applyBorder="1" applyAlignment="1"/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0" fontId="8" fillId="0" borderId="0" xfId="0" applyNumberFormat="1" applyFont="1"/>
    <xf numFmtId="0" fontId="8" fillId="0" borderId="3" xfId="0" applyFont="1" applyBorder="1" applyAlignment="1">
      <alignment horizontal="center"/>
    </xf>
    <xf numFmtId="2" fontId="8" fillId="0" borderId="0" xfId="0" applyNumberFormat="1" applyFont="1"/>
    <xf numFmtId="2" fontId="8" fillId="0" borderId="3" xfId="0" applyNumberFormat="1" applyFont="1" applyBorder="1"/>
    <xf numFmtId="0" fontId="8" fillId="0" borderId="3" xfId="0" applyFont="1" applyBorder="1"/>
    <xf numFmtId="10" fontId="7" fillId="0" borderId="0" xfId="0" applyNumberFormat="1" applyFont="1"/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7" fillId="0" borderId="0" xfId="0" applyNumberFormat="1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top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2"/>
  <sheetViews>
    <sheetView topLeftCell="A14" workbookViewId="0">
      <selection activeCell="M16" sqref="M16"/>
    </sheetView>
  </sheetViews>
  <sheetFormatPr defaultRowHeight="15.75"/>
  <cols>
    <col min="1" max="1" width="7" style="13" customWidth="1"/>
    <col min="2" max="2" width="24.28515625" style="7" customWidth="1"/>
    <col min="3" max="4" width="13.28515625" style="13" customWidth="1"/>
    <col min="5" max="5" width="12.42578125" style="13" hidden="1" customWidth="1"/>
    <col min="6" max="6" width="13.5703125" style="13" hidden="1" customWidth="1"/>
    <col min="7" max="7" width="11.140625" style="13" hidden="1" customWidth="1"/>
    <col min="8" max="8" width="16.140625" style="13" hidden="1" customWidth="1"/>
    <col min="9" max="9" width="13" style="13" customWidth="1"/>
    <col min="10" max="10" width="12.42578125" style="13" customWidth="1"/>
    <col min="11" max="11" width="13.140625" style="7" customWidth="1"/>
    <col min="12" max="16384" width="9.140625" style="7"/>
  </cols>
  <sheetData>
    <row r="1" spans="1:11" s="10" customFormat="1" ht="36.75" customHeight="1">
      <c r="A1" s="105" t="s">
        <v>43</v>
      </c>
      <c r="B1" s="105"/>
      <c r="C1" s="105"/>
      <c r="D1" s="105"/>
      <c r="E1" s="105"/>
      <c r="F1" s="105"/>
      <c r="G1" s="105"/>
      <c r="H1" s="105"/>
      <c r="I1" s="12"/>
      <c r="J1" s="12"/>
    </row>
    <row r="2" spans="1:11" s="10" customFormat="1" ht="23.25" customHeight="1">
      <c r="A2" s="15"/>
      <c r="B2" s="15"/>
      <c r="C2" s="15"/>
      <c r="D2" s="15"/>
      <c r="E2" s="15"/>
      <c r="F2" s="15"/>
      <c r="G2" s="106" t="s">
        <v>1</v>
      </c>
      <c r="H2" s="106"/>
      <c r="I2" s="12"/>
      <c r="J2" s="12"/>
    </row>
    <row r="3" spans="1:11" ht="33.75" customHeight="1">
      <c r="A3" s="1" t="s">
        <v>35</v>
      </c>
      <c r="B3" s="1" t="s">
        <v>38</v>
      </c>
      <c r="C3" s="1" t="s">
        <v>47</v>
      </c>
      <c r="D3" s="1" t="s">
        <v>60</v>
      </c>
      <c r="E3" s="1" t="s">
        <v>8</v>
      </c>
      <c r="F3" s="1" t="s">
        <v>33</v>
      </c>
      <c r="G3" s="1" t="s">
        <v>39</v>
      </c>
      <c r="H3" s="1" t="s">
        <v>40</v>
      </c>
      <c r="I3" s="22" t="s">
        <v>61</v>
      </c>
      <c r="J3" s="22" t="s">
        <v>62</v>
      </c>
      <c r="K3" s="22" t="s">
        <v>63</v>
      </c>
    </row>
    <row r="4" spans="1:11" ht="23.25" customHeight="1">
      <c r="A4" s="1"/>
      <c r="B4" s="1" t="s">
        <v>9</v>
      </c>
      <c r="C4" s="1"/>
      <c r="D4" s="1"/>
      <c r="E4" s="1"/>
      <c r="F4" s="1"/>
      <c r="G4" s="1"/>
      <c r="H4" s="1"/>
      <c r="I4" s="23"/>
      <c r="J4" s="23"/>
      <c r="K4" s="24"/>
    </row>
    <row r="5" spans="1:11" s="10" customFormat="1" ht="20.100000000000001" customHeight="1">
      <c r="A5" s="9">
        <v>1</v>
      </c>
      <c r="B5" s="2" t="s">
        <v>41</v>
      </c>
      <c r="C5" s="1">
        <f>240+460+25</f>
        <v>725</v>
      </c>
      <c r="D5" s="1">
        <f>375+1050+100</f>
        <v>1525</v>
      </c>
      <c r="E5" s="6">
        <f ca="1">'1(2019-20)'!J6</f>
        <v>38.115894330553949</v>
      </c>
      <c r="F5" s="6">
        <f>'Annexure ii (Dep)'!D5</f>
        <v>20.62</v>
      </c>
      <c r="G5" s="6">
        <f>' Annexure iii O&amp;M '!C5</f>
        <v>168.65365686524575</v>
      </c>
      <c r="H5" s="6">
        <f t="shared" ref="H5:H15" ca="1" si="0">E5+F5+G5</f>
        <v>227.3895511957997</v>
      </c>
      <c r="I5" s="6">
        <f ca="1">H5*10/D5</f>
        <v>1.491079024234752</v>
      </c>
      <c r="J5" s="9"/>
      <c r="K5" s="6">
        <f ca="1">I5+J5</f>
        <v>1.491079024234752</v>
      </c>
    </row>
    <row r="6" spans="1:11" s="10" customFormat="1" ht="20.100000000000001" customHeight="1">
      <c r="A6" s="9">
        <v>2</v>
      </c>
      <c r="B6" s="2" t="s">
        <v>11</v>
      </c>
      <c r="C6" s="1">
        <f>815.6+90+60</f>
        <v>965.6</v>
      </c>
      <c r="D6" s="1">
        <f>992+292.5+127</f>
        <v>1411.5</v>
      </c>
      <c r="E6" s="6">
        <f ca="1">'1(2019-20)'!J7</f>
        <v>5.328421494779735</v>
      </c>
      <c r="F6" s="6">
        <f>'Annexure ii (Dep)'!C6</f>
        <v>3.5819179784589887</v>
      </c>
      <c r="G6" s="6">
        <f>' Annexure iii O&amp;M '!C6</f>
        <v>18.373659361083106</v>
      </c>
      <c r="H6" s="6">
        <f t="shared" ca="1" si="0"/>
        <v>27.283998834321828</v>
      </c>
      <c r="I6" s="6">
        <f t="shared" ref="I6:I26" ca="1" si="1">H6*10/D6</f>
        <v>0.19329790176636083</v>
      </c>
      <c r="J6" s="9"/>
      <c r="K6" s="6">
        <f t="shared" ref="K6:K24" ca="1" si="2">I6+J6</f>
        <v>0.19329790176636083</v>
      </c>
    </row>
    <row r="7" spans="1:11" s="10" customFormat="1" ht="20.100000000000001" customHeight="1">
      <c r="A7" s="9">
        <v>3</v>
      </c>
      <c r="B7" s="2" t="s">
        <v>12</v>
      </c>
      <c r="C7" s="1">
        <v>770</v>
      </c>
      <c r="D7" s="1">
        <v>1752</v>
      </c>
      <c r="E7" s="6">
        <f ca="1">'1(2019-20)'!J8</f>
        <v>46.607023130035508</v>
      </c>
      <c r="F7" s="6">
        <f>'Annexure ii (Dep)'!C7</f>
        <v>32.090000000000003</v>
      </c>
      <c r="G7" s="6">
        <f>' Annexure iii O&amp;M '!C7</f>
        <v>139.11062633749586</v>
      </c>
      <c r="H7" s="6">
        <f t="shared" ca="1" si="0"/>
        <v>217.80764946753138</v>
      </c>
      <c r="I7" s="6">
        <f t="shared" ca="1" si="1"/>
        <v>1.2431943462758641</v>
      </c>
      <c r="J7" s="9"/>
      <c r="K7" s="6">
        <f t="shared" ca="1" si="2"/>
        <v>1.2431943462758641</v>
      </c>
    </row>
    <row r="8" spans="1:11" s="10" customFormat="1" ht="20.100000000000001" customHeight="1">
      <c r="A8" s="9">
        <v>4</v>
      </c>
      <c r="B8" s="2" t="s">
        <v>13</v>
      </c>
      <c r="C8" s="1">
        <f>27+10+20+15</f>
        <v>72</v>
      </c>
      <c r="D8" s="4">
        <f>107.5*0.75+30+54+49</f>
        <v>213.625</v>
      </c>
      <c r="E8" s="6">
        <f ca="1">'1(2019-20)'!J9</f>
        <v>3.4865723242919668</v>
      </c>
      <c r="F8" s="6">
        <f>'Annexure ii (Dep)'!C8</f>
        <v>1.6083333333333334</v>
      </c>
      <c r="G8" s="6">
        <f>' Annexure iii O&amp;M '!C8</f>
        <v>7.800605960777836</v>
      </c>
      <c r="H8" s="6">
        <f t="shared" ca="1" si="0"/>
        <v>12.895511618403138</v>
      </c>
      <c r="I8" s="6">
        <f t="shared" ca="1" si="1"/>
        <v>0.60365180191471679</v>
      </c>
      <c r="J8" s="9"/>
      <c r="K8" s="6">
        <f t="shared" ca="1" si="2"/>
        <v>0.60365180191471679</v>
      </c>
    </row>
    <row r="9" spans="1:11" s="10" customFormat="1" ht="20.100000000000001" customHeight="1">
      <c r="A9" s="9">
        <v>5</v>
      </c>
      <c r="B9" s="2" t="s">
        <v>14</v>
      </c>
      <c r="C9" s="1">
        <v>12.16</v>
      </c>
      <c r="D9" s="1">
        <v>68.239999999999995</v>
      </c>
      <c r="E9" s="6">
        <f ca="1">'1(2019-20)'!J10</f>
        <v>0.28595970134087212</v>
      </c>
      <c r="F9" s="6">
        <f>'Annexure ii (Dep)'!C9</f>
        <v>8.0327868852459017E-2</v>
      </c>
      <c r="G9" s="6">
        <f>' Annexure iii O&amp;M '!C9</f>
        <v>1.1986533537158357</v>
      </c>
      <c r="H9" s="6">
        <f t="shared" ca="1" si="0"/>
        <v>1.5649409239091669</v>
      </c>
      <c r="I9" s="6">
        <f t="shared" ca="1" si="1"/>
        <v>0.22932897478153094</v>
      </c>
      <c r="J9" s="9"/>
      <c r="K9" s="6">
        <f t="shared" ca="1" si="2"/>
        <v>0.22932897478153094</v>
      </c>
    </row>
    <row r="10" spans="1:11" s="10" customFormat="1" ht="20.100000000000001" hidden="1" customHeight="1">
      <c r="A10" s="9">
        <v>6</v>
      </c>
      <c r="B10" s="2" t="s">
        <v>15</v>
      </c>
      <c r="C10" s="1"/>
      <c r="D10" s="1"/>
      <c r="E10" s="6" t="e">
        <f>'1(2019-20)'!#REF!</f>
        <v>#REF!</v>
      </c>
      <c r="F10" s="6" t="e">
        <f>'Annexure ii (Dep)'!#REF!</f>
        <v>#REF!</v>
      </c>
      <c r="G10" s="6" t="e">
        <f>' Annexure iii O&amp;M '!#REF!</f>
        <v>#REF!</v>
      </c>
      <c r="H10" s="6" t="e">
        <f t="shared" si="0"/>
        <v>#REF!</v>
      </c>
      <c r="I10" s="6" t="e">
        <f t="shared" si="1"/>
        <v>#REF!</v>
      </c>
      <c r="J10" s="9"/>
      <c r="K10" s="6" t="e">
        <f t="shared" si="2"/>
        <v>#REF!</v>
      </c>
    </row>
    <row r="11" spans="1:11" s="10" customFormat="1" ht="20.100000000000001" customHeight="1">
      <c r="A11" s="9">
        <v>7</v>
      </c>
      <c r="B11" s="2" t="s">
        <v>16</v>
      </c>
      <c r="C11" s="1">
        <v>720</v>
      </c>
      <c r="D11" s="1">
        <f>C11*24*365*0.8/1000</f>
        <v>5045.76</v>
      </c>
      <c r="E11" s="6" t="e">
        <f>'1(2019-20)'!#REF!</f>
        <v>#REF!</v>
      </c>
      <c r="F11" s="6" t="e">
        <f>'Annexure ii (Dep)'!#REF!</f>
        <v>#REF!</v>
      </c>
      <c r="G11" s="6" t="e">
        <f>' Annexure iii O&amp;M '!#REF!</f>
        <v>#REF!</v>
      </c>
      <c r="H11" s="6" t="e">
        <f t="shared" si="0"/>
        <v>#REF!</v>
      </c>
      <c r="I11" s="6" t="e">
        <f t="shared" si="1"/>
        <v>#REF!</v>
      </c>
      <c r="J11" s="9">
        <v>2.11</v>
      </c>
      <c r="K11" s="6" t="e">
        <f t="shared" si="2"/>
        <v>#REF!</v>
      </c>
    </row>
    <row r="12" spans="1:11" s="10" customFormat="1" ht="20.100000000000001" customHeight="1">
      <c r="A12" s="9">
        <v>8</v>
      </c>
      <c r="B12" s="2" t="s">
        <v>17</v>
      </c>
      <c r="C12" s="1">
        <v>500</v>
      </c>
      <c r="D12" s="1">
        <f>C12*24*365*0.8/1000</f>
        <v>3504</v>
      </c>
      <c r="E12" s="6" t="e">
        <f>'1(2019-20)'!#REF!</f>
        <v>#REF!</v>
      </c>
      <c r="F12" s="6" t="e">
        <f>'Annexure ii (Dep)'!#REF!</f>
        <v>#REF!</v>
      </c>
      <c r="G12" s="6" t="e">
        <f>' Annexure iii O&amp;M '!#REF!</f>
        <v>#REF!</v>
      </c>
      <c r="H12" s="6" t="e">
        <f t="shared" si="0"/>
        <v>#REF!</v>
      </c>
      <c r="I12" s="6" t="e">
        <f t="shared" si="1"/>
        <v>#REF!</v>
      </c>
      <c r="J12" s="9">
        <v>1.75</v>
      </c>
      <c r="K12" s="6" t="e">
        <f t="shared" si="2"/>
        <v>#REF!</v>
      </c>
    </row>
    <row r="13" spans="1:11" s="10" customFormat="1" ht="20.100000000000001" customHeight="1">
      <c r="A13" s="9">
        <v>9</v>
      </c>
      <c r="B13" s="2" t="s">
        <v>18</v>
      </c>
      <c r="C13" s="1">
        <v>62.5</v>
      </c>
      <c r="D13" s="1">
        <f>C13*24*365*0.8/1000</f>
        <v>438</v>
      </c>
      <c r="E13" s="6" t="e">
        <f>'1(2019-20)'!#REF!</f>
        <v>#REF!</v>
      </c>
      <c r="F13" s="6" t="e">
        <f>'Annexure ii (Dep)'!#REF!</f>
        <v>#REF!</v>
      </c>
      <c r="G13" s="6" t="e">
        <f>' Annexure iii O&amp;M '!#REF!</f>
        <v>#REF!</v>
      </c>
      <c r="H13" s="6" t="e">
        <f t="shared" si="0"/>
        <v>#REF!</v>
      </c>
      <c r="I13" s="6" t="e">
        <f t="shared" si="1"/>
        <v>#REF!</v>
      </c>
      <c r="J13" s="9">
        <v>2.23</v>
      </c>
      <c r="K13" s="6" t="e">
        <f t="shared" si="2"/>
        <v>#REF!</v>
      </c>
    </row>
    <row r="14" spans="1:11" s="10" customFormat="1" ht="20.100000000000001" customHeight="1">
      <c r="A14" s="9">
        <v>10</v>
      </c>
      <c r="B14" s="2" t="s">
        <v>19</v>
      </c>
      <c r="C14" s="1">
        <v>1260</v>
      </c>
      <c r="D14" s="1">
        <f>C14*24*365*0.8/1000</f>
        <v>8830.08</v>
      </c>
      <c r="E14" s="6">
        <f ca="1">'1(2019-20)'!J11</f>
        <v>183.10729449946902</v>
      </c>
      <c r="F14" s="6">
        <f>'Annexure ii (Dep)'!C10</f>
        <v>41.593333333333334</v>
      </c>
      <c r="G14" s="6">
        <f>' Annexure iii O&amp;M '!C10</f>
        <v>590.45714880000003</v>
      </c>
      <c r="H14" s="6">
        <f t="shared" ca="1" si="0"/>
        <v>815.15777663280232</v>
      </c>
      <c r="I14" s="6">
        <f t="shared" ca="1" si="1"/>
        <v>0.92316012610622133</v>
      </c>
      <c r="J14" s="9">
        <v>2.77</v>
      </c>
      <c r="K14" s="6">
        <f t="shared" ca="1" si="2"/>
        <v>3.6931601261062212</v>
      </c>
    </row>
    <row r="15" spans="1:11" s="10" customFormat="1" ht="20.100000000000001" customHeight="1">
      <c r="A15" s="9">
        <v>11</v>
      </c>
      <c r="B15" s="2" t="s">
        <v>20</v>
      </c>
      <c r="C15" s="1">
        <v>420</v>
      </c>
      <c r="D15" s="1">
        <f>C15*24*365*0.8/1000</f>
        <v>2943.36</v>
      </c>
      <c r="E15" s="6">
        <f ca="1">'1(2019-20)'!J12</f>
        <v>82.905432997786647</v>
      </c>
      <c r="F15" s="6">
        <f>'Annexure ii (Dep)'!C11</f>
        <v>15.23</v>
      </c>
      <c r="G15" s="6">
        <f>' Annexure iii O&amp;M '!C11</f>
        <v>196.814784</v>
      </c>
      <c r="H15" s="6">
        <f t="shared" ca="1" si="0"/>
        <v>294.95021699778664</v>
      </c>
      <c r="I15" s="6">
        <f t="shared" ca="1" si="1"/>
        <v>1.002086788560647</v>
      </c>
      <c r="J15" s="9">
        <v>3.42</v>
      </c>
      <c r="K15" s="6">
        <f t="shared" ca="1" si="2"/>
        <v>4.4220867885606472</v>
      </c>
    </row>
    <row r="16" spans="1:11" s="10" customFormat="1" ht="20.100000000000001" customHeight="1">
      <c r="A16" s="9"/>
      <c r="B16" s="1" t="s">
        <v>22</v>
      </c>
      <c r="C16" s="1"/>
      <c r="D16" s="1"/>
      <c r="E16" s="9"/>
      <c r="F16" s="6"/>
      <c r="G16" s="6"/>
      <c r="H16" s="6"/>
      <c r="I16" s="6"/>
      <c r="J16" s="9"/>
      <c r="K16" s="6">
        <f t="shared" si="2"/>
        <v>0</v>
      </c>
    </row>
    <row r="17" spans="1:11" s="10" customFormat="1" ht="21.95" customHeight="1">
      <c r="A17" s="9">
        <v>12</v>
      </c>
      <c r="B17" s="2" t="s">
        <v>23</v>
      </c>
      <c r="C17" s="1">
        <v>900</v>
      </c>
      <c r="D17" s="1">
        <v>1200</v>
      </c>
      <c r="E17" s="6" t="e">
        <f>#REF!</f>
        <v>#REF!</v>
      </c>
      <c r="F17" s="6" t="e">
        <f>'Annexure ii (Dep)'!#REF!</f>
        <v>#REF!</v>
      </c>
      <c r="G17" s="6" t="e">
        <f>' Annexure iii O&amp;M '!#REF!</f>
        <v>#REF!</v>
      </c>
      <c r="H17" s="6" t="e">
        <f t="shared" ref="H17:H26" si="3">E17+F17+G17</f>
        <v>#REF!</v>
      </c>
      <c r="I17" s="6" t="e">
        <f t="shared" si="1"/>
        <v>#REF!</v>
      </c>
      <c r="J17" s="9"/>
      <c r="K17" s="6" t="e">
        <f t="shared" si="2"/>
        <v>#REF!</v>
      </c>
    </row>
    <row r="18" spans="1:11" s="10" customFormat="1" ht="21.95" customHeight="1">
      <c r="A18" s="9">
        <v>13</v>
      </c>
      <c r="B18" s="2" t="s">
        <v>24</v>
      </c>
      <c r="C18" s="1">
        <v>420</v>
      </c>
      <c r="D18" s="1">
        <f>C18*24*365*0.8/1000</f>
        <v>2943.36</v>
      </c>
      <c r="E18" s="6" t="e">
        <f>#REF!</f>
        <v>#REF!</v>
      </c>
      <c r="F18" s="6" t="e">
        <f>'Annexure ii (Dep)'!#REF!</f>
        <v>#REF!</v>
      </c>
      <c r="G18" s="6" t="e">
        <f>' Annexure iii O&amp;M '!#REF!</f>
        <v>#REF!</v>
      </c>
      <c r="H18" s="6" t="e">
        <f t="shared" si="3"/>
        <v>#REF!</v>
      </c>
      <c r="I18" s="6" t="e">
        <f t="shared" si="1"/>
        <v>#REF!</v>
      </c>
      <c r="J18" s="9">
        <v>3.45</v>
      </c>
      <c r="K18" s="6" t="e">
        <f t="shared" si="2"/>
        <v>#REF!</v>
      </c>
    </row>
    <row r="19" spans="1:11" s="10" customFormat="1" ht="21.95" customHeight="1">
      <c r="A19" s="9">
        <v>14</v>
      </c>
      <c r="B19" s="2" t="s">
        <v>25</v>
      </c>
      <c r="C19" s="1">
        <v>500</v>
      </c>
      <c r="D19" s="1">
        <f>C19*24*365*0.8/1000</f>
        <v>3504</v>
      </c>
      <c r="E19" s="6" t="e">
        <f>#REF!</f>
        <v>#REF!</v>
      </c>
      <c r="F19" s="6" t="e">
        <f>'Annexure ii (Dep)'!#REF!</f>
        <v>#REF!</v>
      </c>
      <c r="G19" s="6" t="e">
        <f>' Annexure iii O&amp;M '!#REF!</f>
        <v>#REF!</v>
      </c>
      <c r="H19" s="6" t="e">
        <f t="shared" si="3"/>
        <v>#REF!</v>
      </c>
      <c r="I19" s="6" t="e">
        <f t="shared" si="1"/>
        <v>#REF!</v>
      </c>
      <c r="J19" s="9">
        <v>3.11</v>
      </c>
      <c r="K19" s="6" t="e">
        <f t="shared" si="2"/>
        <v>#REF!</v>
      </c>
    </row>
    <row r="20" spans="1:11" s="10" customFormat="1" ht="21.95" customHeight="1">
      <c r="A20" s="9">
        <v>15</v>
      </c>
      <c r="B20" s="2" t="s">
        <v>26</v>
      </c>
      <c r="C20" s="1">
        <v>500</v>
      </c>
      <c r="D20" s="1">
        <f>C20*24*365*0.8/1000</f>
        <v>3504</v>
      </c>
      <c r="E20" s="6" t="e">
        <f>#REF!</f>
        <v>#REF!</v>
      </c>
      <c r="F20" s="6" t="e">
        <f>'Annexure ii (Dep)'!#REF!</f>
        <v>#REF!</v>
      </c>
      <c r="G20" s="6" t="e">
        <f>' Annexure iii O&amp;M '!#REF!</f>
        <v>#REF!</v>
      </c>
      <c r="H20" s="6" t="e">
        <f t="shared" si="3"/>
        <v>#REF!</v>
      </c>
      <c r="I20" s="6" t="e">
        <f t="shared" si="1"/>
        <v>#REF!</v>
      </c>
      <c r="J20" s="9">
        <v>2.15</v>
      </c>
      <c r="K20" s="6" t="e">
        <f t="shared" si="2"/>
        <v>#REF!</v>
      </c>
    </row>
    <row r="21" spans="1:11" s="10" customFormat="1" ht="21.95" customHeight="1">
      <c r="A21" s="9">
        <v>16</v>
      </c>
      <c r="B21" s="5" t="s">
        <v>27</v>
      </c>
      <c r="C21" s="14">
        <v>234</v>
      </c>
      <c r="D21" s="14">
        <v>404</v>
      </c>
      <c r="E21" s="6" t="e">
        <f>#REF!</f>
        <v>#REF!</v>
      </c>
      <c r="F21" s="6" t="e">
        <f>'Annexure ii (Dep)'!#REF!</f>
        <v>#REF!</v>
      </c>
      <c r="G21" s="6" t="e">
        <f>' Annexure iii O&amp;M '!#REF!</f>
        <v>#REF!</v>
      </c>
      <c r="H21" s="6" t="e">
        <f t="shared" si="3"/>
        <v>#REF!</v>
      </c>
      <c r="I21" s="6" t="e">
        <f t="shared" si="1"/>
        <v>#REF!</v>
      </c>
      <c r="J21" s="9"/>
      <c r="K21" s="6" t="e">
        <f t="shared" si="2"/>
        <v>#REF!</v>
      </c>
    </row>
    <row r="22" spans="1:11" s="10" customFormat="1" ht="36" customHeight="1">
      <c r="A22" s="9">
        <v>17</v>
      </c>
      <c r="B22" s="5" t="s">
        <v>28</v>
      </c>
      <c r="C22" s="14">
        <v>9</v>
      </c>
      <c r="D22" s="17">
        <f>107.5*0.25</f>
        <v>26.875</v>
      </c>
      <c r="E22" s="6" t="e">
        <f>#REF!</f>
        <v>#REF!</v>
      </c>
      <c r="F22" s="6" t="e">
        <f>'Annexure ii (Dep)'!#REF!</f>
        <v>#REF!</v>
      </c>
      <c r="G22" s="6" t="e">
        <f>' Annexure iii O&amp;M '!#REF!</f>
        <v>#REF!</v>
      </c>
      <c r="H22" s="6" t="e">
        <f t="shared" si="3"/>
        <v>#REF!</v>
      </c>
      <c r="I22" s="6" t="e">
        <f t="shared" si="1"/>
        <v>#REF!</v>
      </c>
      <c r="J22" s="9"/>
      <c r="K22" s="6" t="e">
        <f t="shared" si="2"/>
        <v>#REF!</v>
      </c>
    </row>
    <row r="23" spans="1:11" s="10" customFormat="1" ht="21.95" customHeight="1">
      <c r="A23" s="9">
        <v>18</v>
      </c>
      <c r="B23" s="2" t="s">
        <v>29</v>
      </c>
      <c r="C23" s="1">
        <v>210</v>
      </c>
      <c r="D23" s="1">
        <f>C23*24*365*0.8/1000</f>
        <v>1471.68</v>
      </c>
      <c r="E23" s="6" t="e">
        <f>#REF!</f>
        <v>#REF!</v>
      </c>
      <c r="F23" s="6" t="e">
        <f>'Annexure ii (Dep)'!#REF!</f>
        <v>#REF!</v>
      </c>
      <c r="G23" s="6" t="e">
        <f>' Annexure iii O&amp;M '!#REF!</f>
        <v>#REF!</v>
      </c>
      <c r="H23" s="6" t="e">
        <f t="shared" si="3"/>
        <v>#REF!</v>
      </c>
      <c r="I23" s="6" t="e">
        <f t="shared" si="1"/>
        <v>#REF!</v>
      </c>
      <c r="J23" s="9">
        <v>3.46</v>
      </c>
      <c r="K23" s="6" t="e">
        <f t="shared" si="2"/>
        <v>#REF!</v>
      </c>
    </row>
    <row r="24" spans="1:11" s="10" customFormat="1" ht="21.95" customHeight="1">
      <c r="A24" s="9">
        <v>19</v>
      </c>
      <c r="B24" s="2" t="s">
        <v>30</v>
      </c>
      <c r="C24" s="1">
        <v>500</v>
      </c>
      <c r="D24" s="1">
        <f>C24*24*365*0.8/1000</f>
        <v>3504</v>
      </c>
      <c r="E24" s="6" t="e">
        <f>#REF!</f>
        <v>#REF!</v>
      </c>
      <c r="F24" s="6" t="e">
        <f>'Annexure ii (Dep)'!#REF!</f>
        <v>#REF!</v>
      </c>
      <c r="G24" s="6" t="e">
        <f>' Annexure iii O&amp;M '!#REF!</f>
        <v>#REF!</v>
      </c>
      <c r="H24" s="6" t="e">
        <f t="shared" si="3"/>
        <v>#REF!</v>
      </c>
      <c r="I24" s="6" t="e">
        <f t="shared" si="1"/>
        <v>#REF!</v>
      </c>
      <c r="J24" s="9">
        <v>2.69</v>
      </c>
      <c r="K24" s="6" t="e">
        <f t="shared" si="2"/>
        <v>#REF!</v>
      </c>
    </row>
    <row r="25" spans="1:11" s="10" customFormat="1" ht="21.95" hidden="1" customHeight="1">
      <c r="A25" s="18">
        <v>20</v>
      </c>
      <c r="B25" s="19" t="s">
        <v>31</v>
      </c>
      <c r="C25" s="20">
        <v>240</v>
      </c>
      <c r="D25" s="20"/>
      <c r="E25" s="21" t="e">
        <f>#REF!</f>
        <v>#REF!</v>
      </c>
      <c r="F25" s="21" t="e">
        <f>'Annexure ii (Dep)'!#REF!</f>
        <v>#REF!</v>
      </c>
      <c r="G25" s="21" t="e">
        <f>' Annexure iii O&amp;M '!#REF!</f>
        <v>#REF!</v>
      </c>
      <c r="H25" s="21" t="e">
        <f t="shared" si="3"/>
        <v>#REF!</v>
      </c>
      <c r="I25" s="16" t="e">
        <f t="shared" si="1"/>
        <v>#REF!</v>
      </c>
      <c r="J25" s="12"/>
    </row>
    <row r="26" spans="1:11" s="10" customFormat="1" ht="21.95" hidden="1" customHeight="1">
      <c r="A26" s="9">
        <v>21</v>
      </c>
      <c r="B26" s="2" t="s">
        <v>44</v>
      </c>
      <c r="C26" s="1">
        <v>1600</v>
      </c>
      <c r="D26" s="1">
        <f>C26*24*365*0.8/1000</f>
        <v>11212.8</v>
      </c>
      <c r="E26" s="6" t="e">
        <f>#REF!</f>
        <v>#REF!</v>
      </c>
      <c r="F26" s="6" t="e">
        <f>'Annexure ii (Dep)'!#REF!</f>
        <v>#REF!</v>
      </c>
      <c r="G26" s="6" t="e">
        <f>' Annexure iii O&amp;M '!#REF!</f>
        <v>#REF!</v>
      </c>
      <c r="H26" s="6" t="e">
        <f t="shared" si="3"/>
        <v>#REF!</v>
      </c>
      <c r="I26" s="16" t="e">
        <f t="shared" si="1"/>
        <v>#REF!</v>
      </c>
      <c r="J26" s="12"/>
    </row>
    <row r="27" spans="1:11" s="10" customFormat="1" ht="33.75" hidden="1" customHeight="1">
      <c r="A27" s="9"/>
      <c r="B27" s="2" t="s">
        <v>42</v>
      </c>
      <c r="C27" s="1"/>
      <c r="D27" s="1"/>
      <c r="E27" s="6"/>
      <c r="F27" s="6"/>
      <c r="G27" s="6"/>
      <c r="H27" s="6">
        <f>25.56*1.04</f>
        <v>26.5824</v>
      </c>
      <c r="I27" s="16"/>
      <c r="J27" s="12"/>
    </row>
    <row r="28" spans="1:11" s="10" customFormat="1" ht="21.75" hidden="1" customHeight="1">
      <c r="A28" s="9"/>
      <c r="B28" s="8" t="s">
        <v>21</v>
      </c>
      <c r="C28" s="8"/>
      <c r="D28" s="8"/>
      <c r="E28" s="11" t="e">
        <f ca="1">SUM(E5:E26)</f>
        <v>#REF!</v>
      </c>
      <c r="F28" s="11" t="e">
        <f>SUM(F5:F26)</f>
        <v>#REF!</v>
      </c>
      <c r="G28" s="11" t="e">
        <f>SUM(G5:G26)</f>
        <v>#REF!</v>
      </c>
      <c r="H28" s="11" t="e">
        <f ca="1">SUM(H5:H27)</f>
        <v>#REF!</v>
      </c>
      <c r="I28" s="12"/>
      <c r="J28" s="12"/>
    </row>
    <row r="29" spans="1:11" s="10" customFormat="1">
      <c r="A29" s="12"/>
      <c r="C29" s="12"/>
      <c r="D29" s="12"/>
      <c r="E29" s="12"/>
      <c r="F29" s="12"/>
      <c r="G29" s="12"/>
      <c r="H29" s="12"/>
      <c r="I29" s="12"/>
      <c r="J29" s="12"/>
    </row>
    <row r="30" spans="1:11" s="10" customFormat="1">
      <c r="A30" s="12"/>
      <c r="C30" s="12"/>
      <c r="D30" s="12"/>
      <c r="E30" s="12"/>
      <c r="F30" s="12"/>
      <c r="G30" s="12"/>
      <c r="H30" s="12"/>
      <c r="I30" s="12"/>
      <c r="J30" s="12"/>
    </row>
    <row r="31" spans="1:11" s="10" customFormat="1">
      <c r="A31" s="12"/>
      <c r="C31" s="12"/>
      <c r="D31" s="12"/>
      <c r="E31" s="12"/>
      <c r="F31" s="12"/>
      <c r="G31" s="12"/>
      <c r="H31" s="12"/>
      <c r="I31" s="12"/>
      <c r="J31" s="12"/>
    </row>
    <row r="32" spans="1:11" s="10" customFormat="1">
      <c r="A32" s="12"/>
      <c r="C32" s="12"/>
      <c r="D32" s="12"/>
      <c r="E32" s="12"/>
      <c r="F32" s="12"/>
      <c r="G32" s="12"/>
      <c r="H32" s="12"/>
      <c r="I32" s="12"/>
      <c r="J32" s="12"/>
    </row>
  </sheetData>
  <mergeCells count="2">
    <mergeCell ref="A1:H1"/>
    <mergeCell ref="G2:H2"/>
  </mergeCells>
  <phoneticPr fontId="0" type="noConversion"/>
  <pageMargins left="0.4" right="0.39" top="0.7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R18"/>
  <sheetViews>
    <sheetView topLeftCell="A10" workbookViewId="0">
      <selection activeCell="E14" sqref="E14"/>
    </sheetView>
  </sheetViews>
  <sheetFormatPr defaultRowHeight="12.75"/>
  <cols>
    <col min="1" max="1" width="22.5703125" customWidth="1"/>
    <col min="2" max="2" width="14.85546875" customWidth="1"/>
    <col min="3" max="3" width="15.7109375" customWidth="1"/>
    <col min="4" max="4" width="10.5703125" customWidth="1"/>
    <col min="5" max="5" width="18.140625" customWidth="1"/>
    <col min="6" max="6" width="11.85546875" customWidth="1"/>
    <col min="7" max="7" width="11" customWidth="1"/>
    <col min="8" max="8" width="10.28515625" customWidth="1"/>
    <col min="9" max="9" width="10.5703125" customWidth="1"/>
    <col min="10" max="10" width="10" customWidth="1"/>
    <col min="14" max="14" width="8.5703125" customWidth="1"/>
  </cols>
  <sheetData>
    <row r="1" spans="1:18" ht="40.5" customHeight="1">
      <c r="A1" s="114" t="s">
        <v>95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8" ht="39.75" customHeight="1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8" ht="17.25" customHeight="1">
      <c r="A3" s="30"/>
      <c r="B3" s="30"/>
      <c r="C3" s="30"/>
      <c r="D3" s="30"/>
      <c r="E3" s="30"/>
      <c r="F3" s="30"/>
      <c r="G3" s="30"/>
      <c r="H3" s="115" t="s">
        <v>1</v>
      </c>
      <c r="I3" s="115"/>
      <c r="J3" s="115"/>
    </row>
    <row r="4" spans="1:18" ht="57.75" customHeight="1">
      <c r="A4" s="41" t="s">
        <v>2</v>
      </c>
      <c r="B4" s="41" t="s">
        <v>132</v>
      </c>
      <c r="C4" s="41" t="s">
        <v>133</v>
      </c>
      <c r="D4" s="41" t="s">
        <v>3</v>
      </c>
      <c r="E4" s="41" t="s">
        <v>106</v>
      </c>
      <c r="F4" s="41" t="s">
        <v>4</v>
      </c>
      <c r="G4" s="41" t="s">
        <v>5</v>
      </c>
      <c r="H4" s="42" t="s">
        <v>6</v>
      </c>
      <c r="I4" s="42" t="s">
        <v>7</v>
      </c>
      <c r="J4" s="42" t="s">
        <v>8</v>
      </c>
    </row>
    <row r="5" spans="1:18" ht="20.100000000000001" customHeight="1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8" ht="24.75" customHeight="1">
      <c r="A6" s="43" t="s">
        <v>10</v>
      </c>
      <c r="B6" s="39">
        <f>'1(2019-20)'!B6</f>
        <v>698.61</v>
      </c>
      <c r="C6" s="44">
        <f t="shared" ref="C6:C12" si="0">B6*0.3</f>
        <v>209.583</v>
      </c>
      <c r="D6" s="44">
        <f t="shared" ref="D6:D12" si="1">B6-C6</f>
        <v>489.02700000000004</v>
      </c>
      <c r="E6" s="44">
        <f>'1(2019-20)'!E6+'Annexure ii (Dep)'!C5</f>
        <v>502.64</v>
      </c>
      <c r="F6" s="44">
        <f t="shared" ref="F6:F13" si="2">IF(E6&gt;D6,B6-E6,C6)</f>
        <v>195.97000000000003</v>
      </c>
      <c r="G6" s="44">
        <f t="shared" ref="G6:G12" si="3">IF(E6&lt;D6,D6-E6,0)</f>
        <v>0</v>
      </c>
      <c r="H6" s="45">
        <f ca="1">'IV(IWC2020-21)'!H6</f>
        <v>112.07243948863272</v>
      </c>
      <c r="I6" s="46">
        <f t="shared" ref="I6:I12" ca="1" si="4">F6+G6+H6</f>
        <v>308.04243948863274</v>
      </c>
      <c r="J6" s="46">
        <f ca="1">I6*'FC(2019-24)'!$F$2</f>
        <v>36.349007859658663</v>
      </c>
    </row>
    <row r="7" spans="1:18" ht="24.75" customHeight="1">
      <c r="A7" s="43" t="s">
        <v>64</v>
      </c>
      <c r="B7" s="44">
        <f>'1(2019-20)'!B7</f>
        <v>114.78</v>
      </c>
      <c r="C7" s="44">
        <f t="shared" si="0"/>
        <v>34.433999999999997</v>
      </c>
      <c r="D7" s="44">
        <f t="shared" si="1"/>
        <v>80.346000000000004</v>
      </c>
      <c r="E7" s="44">
        <f>'1(2019-20)'!E7+'Annexure ii (Dep)'!C6</f>
        <v>86.741917978458986</v>
      </c>
      <c r="F7" s="44">
        <f t="shared" si="2"/>
        <v>28.038082021541015</v>
      </c>
      <c r="G7" s="44">
        <f t="shared" si="3"/>
        <v>0</v>
      </c>
      <c r="H7" s="45">
        <f ca="1">'IV(IWC2020-21)'!H7</f>
        <v>14.201520615439609</v>
      </c>
      <c r="I7" s="46">
        <f t="shared" ca="1" si="4"/>
        <v>42.239602636980621</v>
      </c>
      <c r="J7" s="46">
        <f ca="1">I7*'FC(2019-24)'!$F$2</f>
        <v>4.9842731111637129</v>
      </c>
    </row>
    <row r="8" spans="1:18" ht="24.75" customHeight="1">
      <c r="A8" s="43" t="s">
        <v>12</v>
      </c>
      <c r="B8" s="39">
        <f>'1(2019-20)'!B8</f>
        <v>963.7600000000001</v>
      </c>
      <c r="C8" s="44">
        <f t="shared" si="0"/>
        <v>289.12800000000004</v>
      </c>
      <c r="D8" s="44">
        <f t="shared" si="1"/>
        <v>674.63200000000006</v>
      </c>
      <c r="E8" s="44">
        <f>'1(2019-20)'!E8+'Annexure ii (Dep)'!C7</f>
        <v>711.88000000000011</v>
      </c>
      <c r="F8" s="44">
        <f t="shared" si="2"/>
        <v>251.88</v>
      </c>
      <c r="G8" s="44">
        <f t="shared" si="3"/>
        <v>0</v>
      </c>
      <c r="H8" s="45">
        <f ca="1">'IV(IWC2020-21)'!H8</f>
        <v>116.33416575730401</v>
      </c>
      <c r="I8" s="46">
        <f t="shared" ca="1" si="4"/>
        <v>368.21416575730399</v>
      </c>
      <c r="J8" s="46">
        <f ca="1">I8*'FC(2019-24)'!$F$2</f>
        <v>43.449271559361868</v>
      </c>
    </row>
    <row r="9" spans="1:18" ht="24.75" customHeight="1">
      <c r="A9" s="43" t="s">
        <v>65</v>
      </c>
      <c r="B9" s="44">
        <f>'1(2019-20)'!B9</f>
        <v>56.68</v>
      </c>
      <c r="C9" s="44">
        <f t="shared" si="0"/>
        <v>17.003999999999998</v>
      </c>
      <c r="D9" s="44">
        <f t="shared" si="1"/>
        <v>39.676000000000002</v>
      </c>
      <c r="E9" s="44">
        <f>'1(2019-20)'!E9+'Annexure ii (Dep)'!C8</f>
        <v>33.648333333333333</v>
      </c>
      <c r="F9" s="44">
        <f t="shared" si="2"/>
        <v>17.003999999999998</v>
      </c>
      <c r="G9" s="44">
        <f t="shared" si="3"/>
        <v>6.0276666666666685</v>
      </c>
      <c r="H9" s="45">
        <f ca="1">'IV(IWC2020-21)'!H9</f>
        <v>5.1201323780988117</v>
      </c>
      <c r="I9" s="46">
        <f t="shared" ca="1" si="4"/>
        <v>28.151799044765479</v>
      </c>
      <c r="J9" s="46">
        <f ca="1">I9*'FC(2019-24)'!$F$2</f>
        <v>3.3219122872823261</v>
      </c>
      <c r="R9" s="3"/>
    </row>
    <row r="10" spans="1:18" ht="24.75" customHeight="1">
      <c r="A10" s="43" t="s">
        <v>66</v>
      </c>
      <c r="B10" s="44">
        <f>'1(2019-20)'!B10</f>
        <v>3.55</v>
      </c>
      <c r="C10" s="44">
        <f t="shared" si="0"/>
        <v>1.0649999999999999</v>
      </c>
      <c r="D10" s="44">
        <f t="shared" si="1"/>
        <v>2.4849999999999999</v>
      </c>
      <c r="E10" s="44">
        <f>'1(2019-20)'!E10+'Annexure ii (Dep)'!C9</f>
        <v>1.680327868852459</v>
      </c>
      <c r="F10" s="44">
        <f t="shared" si="2"/>
        <v>1.0649999999999999</v>
      </c>
      <c r="G10" s="44">
        <f t="shared" si="3"/>
        <v>0.80467213114754088</v>
      </c>
      <c r="H10" s="45">
        <f ca="1">'IV(IWC2020-21)'!H10</f>
        <v>0.49802401438074956</v>
      </c>
      <c r="I10" s="46">
        <f t="shared" ca="1" si="4"/>
        <v>2.3676961455282903</v>
      </c>
      <c r="J10" s="46">
        <f ca="1">I10*'FC(2019-24)'!$F$2</f>
        <v>0.27938814517233823</v>
      </c>
    </row>
    <row r="11" spans="1:18" ht="24.75" customHeight="1">
      <c r="A11" s="43" t="s">
        <v>19</v>
      </c>
      <c r="B11" s="44">
        <f>'1(2019-20)'!B11</f>
        <v>3107.0655000000002</v>
      </c>
      <c r="C11" s="44">
        <f t="shared" si="0"/>
        <v>932.11964999999998</v>
      </c>
      <c r="D11" s="44">
        <f t="shared" si="1"/>
        <v>2174.9458500000001</v>
      </c>
      <c r="E11" s="44">
        <f>'1(2019-20)'!E11+'Annexure ii (Dep)'!C10</f>
        <v>2713.1733333333332</v>
      </c>
      <c r="F11" s="44">
        <f t="shared" si="2"/>
        <v>393.89216666666698</v>
      </c>
      <c r="G11" s="44">
        <f t="shared" si="3"/>
        <v>0</v>
      </c>
      <c r="H11" s="45">
        <f ca="1">'IV(IWC2020-21)'!H11</f>
        <v>1132.0794202879151</v>
      </c>
      <c r="I11" s="46">
        <f t="shared" ca="1" si="4"/>
        <v>1525.9715869545821</v>
      </c>
      <c r="J11" s="46">
        <f ca="1">I11*'FC(2019-24)'!$F$2</f>
        <v>180.06464726064067</v>
      </c>
    </row>
    <row r="12" spans="1:18" ht="24.75" customHeight="1">
      <c r="A12" s="43" t="s">
        <v>20</v>
      </c>
      <c r="B12" s="44">
        <f>'1(2019-20)'!B12</f>
        <v>2044.6899999999998</v>
      </c>
      <c r="C12" s="44">
        <f t="shared" si="0"/>
        <v>613.40699999999993</v>
      </c>
      <c r="D12" s="44">
        <f t="shared" si="1"/>
        <v>1431.2829999999999</v>
      </c>
      <c r="E12" s="44">
        <f>'1(2019-20)'!E12+'Annexure ii (Dep)'!C11</f>
        <v>1779.29</v>
      </c>
      <c r="F12" s="44">
        <f t="shared" si="2"/>
        <v>265.39999999999986</v>
      </c>
      <c r="G12" s="44">
        <f t="shared" si="3"/>
        <v>0</v>
      </c>
      <c r="H12" s="45">
        <f ca="1">'IV(IWC2020-21)'!H12</f>
        <v>428.47682266267543</v>
      </c>
      <c r="I12" s="46">
        <f t="shared" ca="1" si="4"/>
        <v>693.87682266267529</v>
      </c>
      <c r="J12" s="46">
        <f ca="1">I12*'FC(2019-24)'!$F$2</f>
        <v>81.877465074195683</v>
      </c>
    </row>
    <row r="13" spans="1:18" ht="24.75" customHeight="1">
      <c r="A13" s="43" t="s">
        <v>123</v>
      </c>
      <c r="B13" s="39">
        <f>'1(2019-20)'!B13</f>
        <v>1875.71</v>
      </c>
      <c r="C13" s="44">
        <f t="shared" ref="C13:C17" si="5">B13*0.3</f>
        <v>562.71299999999997</v>
      </c>
      <c r="D13" s="44">
        <f t="shared" ref="D13:D17" si="6">B13-C13</f>
        <v>1312.9970000000001</v>
      </c>
      <c r="E13" s="44">
        <f>'1(2019-20)'!E13+'Annexure ii (Dep)'!C12</f>
        <v>1586.0335714285716</v>
      </c>
      <c r="F13" s="44">
        <f t="shared" si="2"/>
        <v>289.67642857142846</v>
      </c>
      <c r="G13" s="44">
        <f t="shared" ref="G13:G17" si="7">IF(E13&lt;D13,D13-E13,0)</f>
        <v>0</v>
      </c>
      <c r="H13" s="45">
        <f ca="1">'IV(IWC2020-21)'!H13</f>
        <v>379.34207386712001</v>
      </c>
      <c r="I13" s="46">
        <f t="shared" ref="I13:I17" ca="1" si="8">F13+G13+H13</f>
        <v>669.01850243854847</v>
      </c>
      <c r="J13" s="46">
        <f ca="1">I13*'FC(2019-24)'!$F$2</f>
        <v>78.944183287748714</v>
      </c>
      <c r="M13" s="25"/>
    </row>
    <row r="14" spans="1:18" ht="24.75" customHeight="1">
      <c r="A14" s="43" t="s">
        <v>124</v>
      </c>
      <c r="B14" s="39">
        <f>'1(2019-20)'!B14</f>
        <v>2157.7799999999997</v>
      </c>
      <c r="C14" s="44">
        <f t="shared" si="5"/>
        <v>647.33399999999995</v>
      </c>
      <c r="D14" s="44">
        <f t="shared" si="6"/>
        <v>1510.4459999999999</v>
      </c>
      <c r="E14" s="44">
        <f>'1(2019-20)'!E14+'Annexure ii (Dep)'!C13</f>
        <v>1582.49</v>
      </c>
      <c r="F14" s="44">
        <f t="shared" ref="F14:F17" si="9">IF(E14&gt;D14,B14-E14,C14)</f>
        <v>575.28999999999974</v>
      </c>
      <c r="G14" s="44">
        <f t="shared" si="7"/>
        <v>0</v>
      </c>
      <c r="H14" s="45">
        <f ca="1">'IV(IWC2020-21)'!H14</f>
        <v>373.52202364902638</v>
      </c>
      <c r="I14" s="46">
        <f t="shared" ca="1" si="8"/>
        <v>948.81202364902606</v>
      </c>
      <c r="J14" s="46">
        <f ca="1">I14*'FC(2019-24)'!$F$2</f>
        <v>111.95981879058508</v>
      </c>
    </row>
    <row r="15" spans="1:18" ht="24.75" customHeight="1">
      <c r="A15" s="43" t="s">
        <v>125</v>
      </c>
      <c r="B15" s="39">
        <f>'1(2019-20)'!B15</f>
        <v>1219.1400000000001</v>
      </c>
      <c r="C15" s="44">
        <f t="shared" si="5"/>
        <v>365.74200000000002</v>
      </c>
      <c r="D15" s="44">
        <f t="shared" si="6"/>
        <v>853.39800000000014</v>
      </c>
      <c r="E15" s="44">
        <f>'1(2019-20)'!E15+'Annexure ii (Dep)'!C14</f>
        <v>818.51</v>
      </c>
      <c r="F15" s="44">
        <f t="shared" si="9"/>
        <v>365.74200000000002</v>
      </c>
      <c r="G15" s="44">
        <f t="shared" si="7"/>
        <v>34.888000000000147</v>
      </c>
      <c r="H15" s="45">
        <f ca="1">'IV(IWC2020-21)'!H15</f>
        <v>212.9685583548453</v>
      </c>
      <c r="I15" s="46">
        <f t="shared" ca="1" si="8"/>
        <v>613.59855835484541</v>
      </c>
      <c r="J15" s="46">
        <f ca="1">I15*'FC(2019-24)'!$F$2</f>
        <v>72.404629885871756</v>
      </c>
    </row>
    <row r="16" spans="1:18" ht="24.75" customHeight="1">
      <c r="A16" s="43" t="s">
        <v>126</v>
      </c>
      <c r="B16" s="44">
        <v>294.87909999999999</v>
      </c>
      <c r="C16" s="44">
        <f t="shared" si="5"/>
        <v>88.463729999999998</v>
      </c>
      <c r="D16" s="44">
        <f t="shared" si="6"/>
        <v>206.41537</v>
      </c>
      <c r="E16" s="44">
        <f>'1(2019-20)'!E16+'Annexure ii (Dep)'!C15</f>
        <v>19.439552666666668</v>
      </c>
      <c r="F16" s="44">
        <f t="shared" si="9"/>
        <v>88.463729999999998</v>
      </c>
      <c r="G16" s="44">
        <f t="shared" si="7"/>
        <v>186.97581733333334</v>
      </c>
      <c r="H16" s="45">
        <f ca="1">'IV(IWC2020-21)'!H16</f>
        <v>12.436189864447273</v>
      </c>
      <c r="I16" s="46">
        <f t="shared" ca="1" si="8"/>
        <v>287.87573719778061</v>
      </c>
      <c r="J16" s="46">
        <f ca="1">I16*'FC(2019-24)'!$F$2</f>
        <v>33.96933698933811</v>
      </c>
    </row>
    <row r="17" spans="1:10" ht="24.75" customHeight="1">
      <c r="A17" s="43" t="s">
        <v>127</v>
      </c>
      <c r="B17" s="39">
        <f>'1(2019-20)'!B17</f>
        <v>4853.38</v>
      </c>
      <c r="C17" s="44">
        <f t="shared" si="5"/>
        <v>1456.0139999999999</v>
      </c>
      <c r="D17" s="44">
        <f t="shared" si="6"/>
        <v>3397.366</v>
      </c>
      <c r="E17" s="44">
        <f>'1(2019-20)'!E17+'Annexure ii (Dep)'!C16</f>
        <v>373.71026000000001</v>
      </c>
      <c r="F17" s="44">
        <f t="shared" si="9"/>
        <v>1456.0139999999999</v>
      </c>
      <c r="G17" s="44">
        <f t="shared" si="7"/>
        <v>3023.6557400000002</v>
      </c>
      <c r="H17" s="45">
        <f ca="1">'IV(IWC2020-21)'!H17</f>
        <v>627.18061806922822</v>
      </c>
      <c r="I17" s="46">
        <f t="shared" ca="1" si="8"/>
        <v>5106.8503580692286</v>
      </c>
      <c r="J17" s="46">
        <f ca="1">I17*'FC(2019-24)'!$F$2</f>
        <v>602.608342252169</v>
      </c>
    </row>
    <row r="18" spans="1:10" ht="24.75" customHeight="1">
      <c r="A18" s="43" t="s">
        <v>130</v>
      </c>
      <c r="B18" s="39">
        <f>'1(2019-20)'!B18</f>
        <v>6143.88</v>
      </c>
      <c r="C18" s="44">
        <f t="shared" ref="C18" si="10">B18*0.3</f>
        <v>1843.164</v>
      </c>
      <c r="D18" s="44">
        <f t="shared" ref="D18" si="11">B18-C18</f>
        <v>4300.7160000000003</v>
      </c>
      <c r="E18" s="44">
        <f>'1(2019-20)'!E18+'Annexure ii (Dep)'!C17</f>
        <v>156.11599079999999</v>
      </c>
      <c r="F18" s="44">
        <f t="shared" ref="F18" si="12">IF(E18&gt;D18,B18-E18,C18)</f>
        <v>1843.164</v>
      </c>
      <c r="G18" s="44">
        <f t="shared" ref="G18" si="13">IF(E18&lt;D18,D18-E18,0)</f>
        <v>4144.6000092000004</v>
      </c>
      <c r="H18" s="45">
        <f ca="1">'IV(IWC2020-21)'!H18</f>
        <v>725.84967040176809</v>
      </c>
      <c r="I18" s="46">
        <f t="shared" ref="I18" ca="1" si="14">F18+G18+H18</f>
        <v>6713.6136796017681</v>
      </c>
      <c r="J18" s="46">
        <f ca="1">I18*'FC(2019-24)'!$F$2</f>
        <v>792.20641419300864</v>
      </c>
    </row>
  </sheetData>
  <mergeCells count="3">
    <mergeCell ref="A1:J1"/>
    <mergeCell ref="A2:J2"/>
    <mergeCell ref="H3:J3"/>
  </mergeCells>
  <phoneticPr fontId="2" type="noConversion"/>
  <pageMargins left="0.73" right="0.2" top="0.47" bottom="0.38" header="0.28999999999999998" footer="0.2800000000000000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R19"/>
  <sheetViews>
    <sheetView topLeftCell="A4" workbookViewId="0">
      <selection activeCell="L9" sqref="L9"/>
    </sheetView>
  </sheetViews>
  <sheetFormatPr defaultRowHeight="15"/>
  <cols>
    <col min="1" max="1" width="21.7109375" style="32" customWidth="1"/>
    <col min="2" max="2" width="14.85546875" style="32" customWidth="1"/>
    <col min="3" max="3" width="14" style="32" customWidth="1"/>
    <col min="4" max="4" width="10.5703125" style="32" customWidth="1"/>
    <col min="5" max="5" width="16.28515625" style="32" customWidth="1"/>
    <col min="6" max="6" width="11.85546875" style="32" customWidth="1"/>
    <col min="7" max="7" width="11" style="32" customWidth="1"/>
    <col min="8" max="8" width="10.28515625" style="32" customWidth="1"/>
    <col min="9" max="9" width="10.5703125" style="32" customWidth="1"/>
    <col min="10" max="10" width="10" style="32" customWidth="1"/>
    <col min="11" max="13" width="9.140625" style="32"/>
    <col min="14" max="14" width="8.5703125" style="32" customWidth="1"/>
    <col min="15" max="16384" width="9.140625" style="32"/>
  </cols>
  <sheetData>
    <row r="1" spans="1:18" ht="40.5" customHeight="1">
      <c r="A1" s="114" t="s">
        <v>96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8" ht="39.75" customHeight="1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8" ht="17.25" customHeight="1">
      <c r="A3" s="30"/>
      <c r="B3" s="30"/>
      <c r="C3" s="30"/>
      <c r="D3" s="30"/>
      <c r="E3" s="30"/>
      <c r="F3" s="30"/>
      <c r="G3" s="30"/>
      <c r="H3" s="107" t="s">
        <v>1</v>
      </c>
      <c r="I3" s="107"/>
      <c r="J3" s="107"/>
    </row>
    <row r="4" spans="1:18" ht="57.75" customHeight="1">
      <c r="A4" s="41" t="s">
        <v>2</v>
      </c>
      <c r="B4" s="41" t="s">
        <v>132</v>
      </c>
      <c r="C4" s="41" t="s">
        <v>133</v>
      </c>
      <c r="D4" s="41" t="s">
        <v>3</v>
      </c>
      <c r="E4" s="41" t="s">
        <v>107</v>
      </c>
      <c r="F4" s="41" t="s">
        <v>4</v>
      </c>
      <c r="G4" s="41" t="s">
        <v>5</v>
      </c>
      <c r="H4" s="42" t="s">
        <v>6</v>
      </c>
      <c r="I4" s="42" t="s">
        <v>7</v>
      </c>
      <c r="J4" s="42" t="s">
        <v>8</v>
      </c>
    </row>
    <row r="5" spans="1:18" ht="20.100000000000001" customHeight="1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8" ht="24" customHeight="1">
      <c r="A6" s="43" t="s">
        <v>10</v>
      </c>
      <c r="B6" s="39">
        <f>'1(2020-21)'!B6</f>
        <v>698.61</v>
      </c>
      <c r="C6" s="44">
        <f t="shared" ref="C6:C12" si="0">B6*0.3</f>
        <v>209.583</v>
      </c>
      <c r="D6" s="44">
        <f t="shared" ref="D6:D12" si="1">B6-C6</f>
        <v>489.02700000000004</v>
      </c>
      <c r="E6" s="44">
        <f>'1(2020-21)'!E6+'Annexure ii (Dep)'!D5</f>
        <v>523.26</v>
      </c>
      <c r="F6" s="44">
        <f t="shared" ref="F6:F12" si="2">IF(E6&gt;D6,B6-E6,C6)</f>
        <v>175.35000000000002</v>
      </c>
      <c r="G6" s="44">
        <f t="shared" ref="G6:G12" si="3">IF(E6&lt;D6,D6-E6,0)</f>
        <v>0</v>
      </c>
      <c r="H6" s="45">
        <f ca="1">'IV(IWC2021-22)'!H6</f>
        <v>118.10179819233723</v>
      </c>
      <c r="I6" s="46">
        <f t="shared" ref="I6:I12" ca="1" si="4">F6+G6+H6</f>
        <v>293.45179819233726</v>
      </c>
      <c r="J6" s="46">
        <f ca="1">I6*'FC(2019-24)'!$F$2</f>
        <v>34.627312186695796</v>
      </c>
    </row>
    <row r="7" spans="1:18" ht="24" customHeight="1">
      <c r="A7" s="43" t="s">
        <v>64</v>
      </c>
      <c r="B7" s="44">
        <f>'1(2020-21)'!B7</f>
        <v>114.78</v>
      </c>
      <c r="C7" s="44">
        <f t="shared" si="0"/>
        <v>34.433999999999997</v>
      </c>
      <c r="D7" s="44">
        <f t="shared" si="1"/>
        <v>80.346000000000004</v>
      </c>
      <c r="E7" s="44">
        <f>'1(2020-21)'!E7+'Annexure ii (Dep)'!D6</f>
        <v>90.323835956917975</v>
      </c>
      <c r="F7" s="44">
        <f t="shared" si="2"/>
        <v>24.456164043082026</v>
      </c>
      <c r="G7" s="44">
        <f t="shared" si="3"/>
        <v>0</v>
      </c>
      <c r="H7" s="45">
        <f ca="1">'IV(IWC2021-22)'!H7</f>
        <v>14.912722020162837</v>
      </c>
      <c r="I7" s="46">
        <f t="shared" ca="1" si="4"/>
        <v>39.368886063244865</v>
      </c>
      <c r="J7" s="46">
        <f ca="1">I7*'FC(2019-24)'!$F$2</f>
        <v>4.645528555462894</v>
      </c>
    </row>
    <row r="8" spans="1:18" ht="24" customHeight="1">
      <c r="A8" s="43" t="s">
        <v>12</v>
      </c>
      <c r="B8" s="39">
        <f>'1(2020-21)'!B8</f>
        <v>963.7600000000001</v>
      </c>
      <c r="C8" s="44">
        <f t="shared" si="0"/>
        <v>289.12800000000004</v>
      </c>
      <c r="D8" s="44">
        <f t="shared" si="1"/>
        <v>674.63200000000006</v>
      </c>
      <c r="E8" s="44">
        <f>'1(2020-21)'!E8+'Annexure ii (Dep)'!D7</f>
        <v>743.97000000000014</v>
      </c>
      <c r="F8" s="44">
        <f t="shared" si="2"/>
        <v>219.78999999999996</v>
      </c>
      <c r="G8" s="44">
        <f t="shared" si="3"/>
        <v>0</v>
      </c>
      <c r="H8" s="45">
        <f ca="1">'IV(IWC2021-22)'!H8</f>
        <v>122.03389530231732</v>
      </c>
      <c r="I8" s="46">
        <f t="shared" ca="1" si="4"/>
        <v>341.82389530231728</v>
      </c>
      <c r="J8" s="46">
        <f ca="1">I8*'FC(2019-24)'!$F$2</f>
        <v>40.33521964567344</v>
      </c>
    </row>
    <row r="9" spans="1:18" ht="24" customHeight="1">
      <c r="A9" s="43" t="s">
        <v>65</v>
      </c>
      <c r="B9" s="44">
        <f>'1(2020-21)'!B9</f>
        <v>56.68</v>
      </c>
      <c r="C9" s="44">
        <f t="shared" si="0"/>
        <v>17.003999999999998</v>
      </c>
      <c r="D9" s="44">
        <f t="shared" si="1"/>
        <v>39.676000000000002</v>
      </c>
      <c r="E9" s="44">
        <f>'1(2020-21)'!E9+'Annexure ii (Dep)'!D8</f>
        <v>35.256666666666668</v>
      </c>
      <c r="F9" s="44">
        <f t="shared" si="2"/>
        <v>17.003999999999998</v>
      </c>
      <c r="G9" s="44">
        <f t="shared" si="3"/>
        <v>4.4193333333333342</v>
      </c>
      <c r="H9" s="45">
        <f ca="1">'IV(IWC2021-22)'!H9</f>
        <v>5.3481337603654477</v>
      </c>
      <c r="I9" s="46">
        <f t="shared" ca="1" si="4"/>
        <v>26.771467093698782</v>
      </c>
      <c r="J9" s="46">
        <f ca="1">I9*'FC(2019-24)'!$F$2</f>
        <v>3.1590331170564561</v>
      </c>
      <c r="R9" s="47"/>
    </row>
    <row r="10" spans="1:18" ht="24" customHeight="1">
      <c r="A10" s="43" t="s">
        <v>66</v>
      </c>
      <c r="B10" s="44">
        <f>'1(2020-21)'!B10</f>
        <v>3.55</v>
      </c>
      <c r="C10" s="44">
        <f t="shared" si="0"/>
        <v>1.0649999999999999</v>
      </c>
      <c r="D10" s="44">
        <f t="shared" si="1"/>
        <v>2.4849999999999999</v>
      </c>
      <c r="E10" s="44">
        <f>'1(2020-21)'!E10+'Annexure ii (Dep)'!D9</f>
        <v>1.7606557377049179</v>
      </c>
      <c r="F10" s="44">
        <f t="shared" si="2"/>
        <v>1.0649999999999999</v>
      </c>
      <c r="G10" s="44">
        <f t="shared" si="3"/>
        <v>0.72434426229508198</v>
      </c>
      <c r="H10" s="45">
        <f ca="1">'IV(IWC2021-22)'!H10</f>
        <v>0.5243363926659339</v>
      </c>
      <c r="I10" s="46">
        <f t="shared" ca="1" si="4"/>
        <v>2.3136806549610158</v>
      </c>
      <c r="J10" s="46">
        <f ca="1">I10*'FC(2019-24)'!$F$2</f>
        <v>0.27301431728539988</v>
      </c>
    </row>
    <row r="11" spans="1:18" ht="24" customHeight="1">
      <c r="A11" s="43" t="s">
        <v>19</v>
      </c>
      <c r="B11" s="44">
        <f>'1(2020-21)'!B11</f>
        <v>3107.0655000000002</v>
      </c>
      <c r="C11" s="44">
        <f t="shared" si="0"/>
        <v>932.11964999999998</v>
      </c>
      <c r="D11" s="44">
        <f t="shared" si="1"/>
        <v>2174.9458500000001</v>
      </c>
      <c r="E11" s="44">
        <f>'1(2020-21)'!E11+'Annexure ii (Dep)'!D10</f>
        <v>2754.7633333333333</v>
      </c>
      <c r="F11" s="44">
        <f t="shared" si="2"/>
        <v>352.30216666666684</v>
      </c>
      <c r="G11" s="44">
        <f t="shared" si="3"/>
        <v>0</v>
      </c>
      <c r="H11" s="45">
        <f ca="1">'IV(IWC2021-22)'!H11</f>
        <v>1148.9311946499347</v>
      </c>
      <c r="I11" s="46">
        <f t="shared" ca="1" si="4"/>
        <v>1501.2333613166015</v>
      </c>
      <c r="J11" s="46">
        <f ca="1">I11*'FC(2019-24)'!$F$2</f>
        <v>177.14553663535898</v>
      </c>
    </row>
    <row r="12" spans="1:18" ht="24" customHeight="1">
      <c r="A12" s="43" t="s">
        <v>20</v>
      </c>
      <c r="B12" s="39">
        <f>'1(2020-21)'!B12</f>
        <v>2044.6899999999998</v>
      </c>
      <c r="C12" s="44">
        <f t="shared" si="0"/>
        <v>613.40699999999993</v>
      </c>
      <c r="D12" s="44">
        <f t="shared" si="1"/>
        <v>1431.2829999999999</v>
      </c>
      <c r="E12" s="44">
        <f>'1(2020-21)'!E12+'Annexure ii (Dep)'!D11</f>
        <v>1794.52</v>
      </c>
      <c r="F12" s="44">
        <f t="shared" si="2"/>
        <v>250.16999999999985</v>
      </c>
      <c r="G12" s="44">
        <f t="shared" si="3"/>
        <v>0</v>
      </c>
      <c r="H12" s="45">
        <f ca="1">'IV(IWC2021-22)'!H12</f>
        <v>435.39392806476371</v>
      </c>
      <c r="I12" s="46">
        <f t="shared" ca="1" si="4"/>
        <v>685.56392806476356</v>
      </c>
      <c r="J12" s="46">
        <f ca="1">I12*'FC(2019-24)'!$F$2</f>
        <v>80.896543511642093</v>
      </c>
    </row>
    <row r="13" spans="1:18" ht="24" customHeight="1">
      <c r="A13" s="43" t="s">
        <v>123</v>
      </c>
      <c r="B13" s="39">
        <f>'1(2020-21)'!B13</f>
        <v>1875.71</v>
      </c>
      <c r="C13" s="44">
        <f t="shared" ref="C13:C17" si="5">B13*0.3</f>
        <v>562.71299999999997</v>
      </c>
      <c r="D13" s="44">
        <f t="shared" ref="D13:D17" si="6">B13-C13</f>
        <v>1312.9970000000001</v>
      </c>
      <c r="E13" s="44">
        <f>'1(2020-21)'!E13+'Annexure ii (Dep)'!D12</f>
        <v>1593.8871428571431</v>
      </c>
      <c r="F13" s="44">
        <f t="shared" ref="F13:F17" si="7">IF(E13&gt;D13,B13-E13,C13)</f>
        <v>281.82285714285695</v>
      </c>
      <c r="G13" s="44">
        <f t="shared" ref="G13:G17" si="8">IF(E13&lt;D13,D13-E13,0)</f>
        <v>0</v>
      </c>
      <c r="H13" s="45">
        <f ca="1">'IV(IWC2021-22)'!H13</f>
        <v>383.86604955955897</v>
      </c>
      <c r="I13" s="46">
        <f t="shared" ref="I13:I17" ca="1" si="9">F13+G13+H13</f>
        <v>665.68890670241592</v>
      </c>
      <c r="J13" s="46">
        <f ca="1">I13*'FC(2019-24)'!$F$2</f>
        <v>78.551290990885079</v>
      </c>
    </row>
    <row r="14" spans="1:18" ht="24" customHeight="1">
      <c r="A14" s="43" t="s">
        <v>124</v>
      </c>
      <c r="B14" s="39">
        <f>'1(2020-21)'!B14</f>
        <v>2157.7799999999997</v>
      </c>
      <c r="C14" s="44">
        <f t="shared" si="5"/>
        <v>647.33399999999995</v>
      </c>
      <c r="D14" s="44">
        <f t="shared" si="6"/>
        <v>1510.4459999999999</v>
      </c>
      <c r="E14" s="44">
        <f>'1(2020-21)'!E14+'Annexure ii (Dep)'!D13</f>
        <v>1606.4573333333333</v>
      </c>
      <c r="F14" s="44">
        <f t="shared" si="7"/>
        <v>551.32266666666646</v>
      </c>
      <c r="G14" s="44">
        <f t="shared" si="8"/>
        <v>0</v>
      </c>
      <c r="H14" s="45">
        <f ca="1">'IV(IWC2021-22)'!H14</f>
        <v>377.22507787134487</v>
      </c>
      <c r="I14" s="46">
        <f t="shared" ca="1" si="9"/>
        <v>928.54774453801133</v>
      </c>
      <c r="J14" s="46">
        <f ca="1">I14*'FC(2019-24)'!$F$2</f>
        <v>109.56863385548533</v>
      </c>
    </row>
    <row r="15" spans="1:18" ht="24" customHeight="1">
      <c r="A15" s="43" t="s">
        <v>125</v>
      </c>
      <c r="B15" s="39">
        <f>'1(2020-21)'!B15</f>
        <v>1219.1400000000001</v>
      </c>
      <c r="C15" s="44">
        <f t="shared" si="5"/>
        <v>365.74200000000002</v>
      </c>
      <c r="D15" s="44">
        <f t="shared" si="6"/>
        <v>853.39800000000014</v>
      </c>
      <c r="E15" s="44">
        <f>'1(2020-21)'!E15+'Annexure ii (Dep)'!D14</f>
        <v>908.62</v>
      </c>
      <c r="F15" s="44">
        <f t="shared" si="7"/>
        <v>310.5200000000001</v>
      </c>
      <c r="G15" s="44">
        <f t="shared" si="8"/>
        <v>0</v>
      </c>
      <c r="H15" s="45">
        <f ca="1">'IV(IWC2021-22)'!H15</f>
        <v>200.46025646190895</v>
      </c>
      <c r="I15" s="46">
        <f t="shared" ca="1" si="9"/>
        <v>510.98025646190905</v>
      </c>
      <c r="J15" s="46">
        <f ca="1">I15*'FC(2019-24)'!$F$2</f>
        <v>60.295670262505261</v>
      </c>
    </row>
    <row r="16" spans="1:18" ht="24" customHeight="1">
      <c r="A16" s="43" t="s">
        <v>126</v>
      </c>
      <c r="B16" s="86">
        <f>'1(2020-21)'!B16</f>
        <v>294.87909999999999</v>
      </c>
      <c r="C16" s="44">
        <f t="shared" si="5"/>
        <v>88.463729999999998</v>
      </c>
      <c r="D16" s="44">
        <f t="shared" si="6"/>
        <v>206.41537</v>
      </c>
      <c r="E16" s="44">
        <f>'1(2020-21)'!E16+'Annexure ii (Dep)'!D15</f>
        <v>29.469552666666665</v>
      </c>
      <c r="F16" s="44">
        <f t="shared" si="7"/>
        <v>88.463729999999998</v>
      </c>
      <c r="G16" s="44">
        <f t="shared" si="8"/>
        <v>176.94581733333334</v>
      </c>
      <c r="H16" s="45">
        <f ca="1">'IV(IWC2021-22)'!H16</f>
        <v>12.497598324478512</v>
      </c>
      <c r="I16" s="46">
        <f t="shared" ca="1" si="9"/>
        <v>277.90714565781184</v>
      </c>
      <c r="J16" s="46">
        <f ca="1">I16*'FC(2019-24)'!$F$2</f>
        <v>32.793043187621798</v>
      </c>
    </row>
    <row r="17" spans="1:10" ht="24" customHeight="1">
      <c r="A17" s="43" t="s">
        <v>127</v>
      </c>
      <c r="B17" s="87">
        <f>'1(2020-21)'!B17</f>
        <v>4853.38</v>
      </c>
      <c r="C17" s="44">
        <f t="shared" si="5"/>
        <v>1456.0139999999999</v>
      </c>
      <c r="D17" s="44">
        <f t="shared" si="6"/>
        <v>3397.366</v>
      </c>
      <c r="E17" s="44">
        <f>'1(2020-21)'!E17+'Annexure ii (Dep)'!D16</f>
        <v>747.42052000000001</v>
      </c>
      <c r="F17" s="44">
        <f t="shared" si="7"/>
        <v>1456.0139999999999</v>
      </c>
      <c r="G17" s="44">
        <f t="shared" si="8"/>
        <v>2649.9454799999999</v>
      </c>
      <c r="H17" s="45">
        <f ca="1">'IV(IWC2021-22)'!H17</f>
        <v>623.86648225984982</v>
      </c>
      <c r="I17" s="46">
        <f t="shared" ca="1" si="9"/>
        <v>4729.8259622598489</v>
      </c>
      <c r="J17" s="46">
        <f ca="1">I17*'FC(2019-24)'!$F$2</f>
        <v>558.11946354666213</v>
      </c>
    </row>
    <row r="18" spans="1:10" ht="24" customHeight="1">
      <c r="A18" s="43" t="s">
        <v>130</v>
      </c>
      <c r="B18" s="87">
        <f>'1(2020-21)'!B18</f>
        <v>6143.88</v>
      </c>
      <c r="C18" s="44">
        <f t="shared" ref="C18" si="10">B18*0.3</f>
        <v>1843.164</v>
      </c>
      <c r="D18" s="44">
        <f t="shared" ref="D18" si="11">B18-C18</f>
        <v>4300.7160000000003</v>
      </c>
      <c r="E18" s="44">
        <f>'1(2020-21)'!E18+'Annexure ii (Dep)'!D17</f>
        <v>629.1959908</v>
      </c>
      <c r="F18" s="44">
        <f t="shared" ref="F18" si="12">IF(E18&gt;D18,B18-E18,C18)</f>
        <v>1843.164</v>
      </c>
      <c r="G18" s="44">
        <f t="shared" ref="G18" si="13">IF(E18&lt;D18,D18-E18,0)</f>
        <v>3671.5200092000005</v>
      </c>
      <c r="H18" s="45">
        <f ca="1">'IV(IWC2021-22)'!H18</f>
        <v>721.79775242584969</v>
      </c>
      <c r="I18" s="46">
        <f t="shared" ref="I18" ca="1" si="14">F18+G18+H18</f>
        <v>6236.4817616258497</v>
      </c>
      <c r="J18" s="46">
        <f ca="1">I18*'FC(2019-24)'!$F$2</f>
        <v>735.90484787185028</v>
      </c>
    </row>
    <row r="19" spans="1:10" ht="25.5" customHeight="1">
      <c r="A19" s="43" t="s">
        <v>137</v>
      </c>
      <c r="B19" s="87">
        <v>5338.95</v>
      </c>
      <c r="C19" s="44">
        <f t="shared" ref="C19" si="15">B19*0.3</f>
        <v>1601.6849999999999</v>
      </c>
      <c r="D19" s="44">
        <f t="shared" ref="D19" si="16">B19-C19</f>
        <v>3737.2649999999999</v>
      </c>
      <c r="E19" s="44">
        <f>'1(2020-21)'!E19+'Annexure ii (Dep)'!D18</f>
        <v>0</v>
      </c>
      <c r="F19" s="44">
        <f t="shared" ref="F19" si="17">IF(E19&gt;D19,B19-E19,C19)</f>
        <v>1601.6849999999999</v>
      </c>
      <c r="G19" s="44">
        <f t="shared" ref="G19" si="18">IF(E19&lt;D19,D19-E19,0)</f>
        <v>3737.2649999999999</v>
      </c>
      <c r="H19" s="45">
        <f ca="1">'IV(IWC2021-22)'!H19</f>
        <v>212.85001275076505</v>
      </c>
      <c r="I19" s="46">
        <f t="shared" ref="I19" ca="1" si="19">F19+G19+H19</f>
        <v>5551.8000127507648</v>
      </c>
      <c r="J19" s="46">
        <f ca="1">I19*'FC(2019-24)'!$F$2*13%</f>
        <v>85.164612195596732</v>
      </c>
    </row>
  </sheetData>
  <mergeCells count="3">
    <mergeCell ref="A1:J1"/>
    <mergeCell ref="A2:J2"/>
    <mergeCell ref="H3:J3"/>
  </mergeCells>
  <phoneticPr fontId="2" type="noConversion"/>
  <pageMargins left="0.57999999999999996" right="0.2" top="0.47" bottom="0.38" header="0.28999999999999998" footer="0.2800000000000000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R19"/>
  <sheetViews>
    <sheetView topLeftCell="A10" workbookViewId="0">
      <selection activeCell="D26" sqref="D26"/>
    </sheetView>
  </sheetViews>
  <sheetFormatPr defaultRowHeight="12.75"/>
  <cols>
    <col min="1" max="1" width="22.28515625" customWidth="1"/>
    <col min="2" max="2" width="14.85546875" customWidth="1"/>
    <col min="3" max="3" width="14" customWidth="1"/>
    <col min="4" max="4" width="10.5703125" customWidth="1"/>
    <col min="5" max="5" width="18.140625" customWidth="1"/>
    <col min="6" max="6" width="11.85546875" customWidth="1"/>
    <col min="7" max="7" width="11" customWidth="1"/>
    <col min="8" max="8" width="10.28515625" customWidth="1"/>
    <col min="9" max="9" width="10.5703125" customWidth="1"/>
    <col min="10" max="10" width="10" customWidth="1"/>
    <col min="14" max="14" width="8.5703125" customWidth="1"/>
  </cols>
  <sheetData>
    <row r="1" spans="1:18" ht="40.5" customHeight="1">
      <c r="A1" s="114" t="s">
        <v>97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8" ht="39.75" customHeight="1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8" ht="17.25" customHeight="1">
      <c r="A3" s="30"/>
      <c r="B3" s="30"/>
      <c r="C3" s="30"/>
      <c r="D3" s="30"/>
      <c r="E3" s="30"/>
      <c r="F3" s="30"/>
      <c r="G3" s="30"/>
      <c r="H3" s="107" t="s">
        <v>1</v>
      </c>
      <c r="I3" s="107"/>
      <c r="J3" s="107"/>
    </row>
    <row r="4" spans="1:18" ht="57.75" customHeight="1">
      <c r="A4" s="41" t="s">
        <v>2</v>
      </c>
      <c r="B4" s="41" t="s">
        <v>132</v>
      </c>
      <c r="C4" s="41" t="s">
        <v>133</v>
      </c>
      <c r="D4" s="41" t="s">
        <v>3</v>
      </c>
      <c r="E4" s="41" t="s">
        <v>108</v>
      </c>
      <c r="F4" s="41" t="s">
        <v>4</v>
      </c>
      <c r="G4" s="41" t="s">
        <v>5</v>
      </c>
      <c r="H4" s="42" t="s">
        <v>6</v>
      </c>
      <c r="I4" s="42" t="s">
        <v>7</v>
      </c>
      <c r="J4" s="42" t="s">
        <v>8</v>
      </c>
    </row>
    <row r="5" spans="1:18" ht="20.100000000000001" customHeight="1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8" ht="24.75" customHeight="1">
      <c r="A6" s="43" t="s">
        <v>10</v>
      </c>
      <c r="B6" s="39">
        <f>'1(2021-22)'!B6</f>
        <v>698.61</v>
      </c>
      <c r="C6" s="44">
        <f t="shared" ref="C6:C12" si="0">B6*0.3</f>
        <v>209.583</v>
      </c>
      <c r="D6" s="44">
        <f t="shared" ref="D6:D12" si="1">B6-C6</f>
        <v>489.02700000000004</v>
      </c>
      <c r="E6" s="44">
        <f>'1(2021-22)'!E6+'Annexure ii (Dep)'!E5</f>
        <v>543.88</v>
      </c>
      <c r="F6" s="44">
        <f t="shared" ref="F6:F12" si="2">IF(E6&gt;D6,B6-E6,C6)</f>
        <v>154.73000000000002</v>
      </c>
      <c r="G6" s="44">
        <f t="shared" ref="G6:G12" si="3">IF(E6&lt;D6,D6-E6,0)</f>
        <v>0</v>
      </c>
      <c r="H6" s="45">
        <f ca="1">'IV(IWC2022-23)'!H6</f>
        <v>131.30236685070292</v>
      </c>
      <c r="I6" s="46">
        <f t="shared" ref="I6:I12" ca="1" si="4">F6+G6+H6</f>
        <v>286.03236685070294</v>
      </c>
      <c r="J6" s="46">
        <f ca="1">I6*'FC(2019-24)'!$F$2</f>
        <v>33.751819288382947</v>
      </c>
    </row>
    <row r="7" spans="1:18" ht="24.75" customHeight="1">
      <c r="A7" s="43" t="s">
        <v>64</v>
      </c>
      <c r="B7" s="44">
        <f>'1(2021-22)'!B7</f>
        <v>114.78</v>
      </c>
      <c r="C7" s="44">
        <f t="shared" si="0"/>
        <v>34.433999999999997</v>
      </c>
      <c r="D7" s="44">
        <f t="shared" si="1"/>
        <v>80.346000000000004</v>
      </c>
      <c r="E7" s="44">
        <f>'1(2021-22)'!E7+'Annexure ii (Dep)'!E6</f>
        <v>93.905753935376964</v>
      </c>
      <c r="F7" s="44">
        <f t="shared" si="2"/>
        <v>20.874246064623037</v>
      </c>
      <c r="G7" s="44">
        <f t="shared" si="3"/>
        <v>0</v>
      </c>
      <c r="H7" s="45">
        <f ca="1">'IV(IWC2022-23)'!H7</f>
        <v>16.51225036517053</v>
      </c>
      <c r="I7" s="46">
        <f t="shared" ca="1" si="4"/>
        <v>37.386496429793567</v>
      </c>
      <c r="J7" s="46">
        <f ca="1">I7*'FC(2019-24)'!$F$2</f>
        <v>4.4116065787156407</v>
      </c>
    </row>
    <row r="8" spans="1:18" ht="24.75" customHeight="1">
      <c r="A8" s="43" t="s">
        <v>12</v>
      </c>
      <c r="B8" s="39">
        <f>'1(2021-22)'!B8</f>
        <v>963.7600000000001</v>
      </c>
      <c r="C8" s="44">
        <f t="shared" si="0"/>
        <v>289.12800000000004</v>
      </c>
      <c r="D8" s="44">
        <f t="shared" si="1"/>
        <v>674.63200000000006</v>
      </c>
      <c r="E8" s="44">
        <f>'1(2021-22)'!E8+'Annexure ii (Dep)'!E7</f>
        <v>776.06000000000017</v>
      </c>
      <c r="F8" s="44">
        <f t="shared" si="2"/>
        <v>187.69999999999993</v>
      </c>
      <c r="G8" s="44">
        <f t="shared" si="3"/>
        <v>0</v>
      </c>
      <c r="H8" s="45">
        <f ca="1">'IV(IWC2022-23)'!H8</f>
        <v>135.31089291943417</v>
      </c>
      <c r="I8" s="46">
        <f t="shared" ca="1" si="4"/>
        <v>323.01089291943413</v>
      </c>
      <c r="J8" s="46">
        <f ca="1">I8*'FC(2019-24)'!$F$2</f>
        <v>38.115285364493225</v>
      </c>
    </row>
    <row r="9" spans="1:18" ht="24.75" customHeight="1">
      <c r="A9" s="43" t="s">
        <v>65</v>
      </c>
      <c r="B9" s="44">
        <f>'1(2021-22)'!B9</f>
        <v>56.68</v>
      </c>
      <c r="C9" s="44">
        <f t="shared" si="0"/>
        <v>17.003999999999998</v>
      </c>
      <c r="D9" s="44">
        <f t="shared" si="1"/>
        <v>39.676000000000002</v>
      </c>
      <c r="E9" s="44">
        <f>'1(2021-22)'!E9+'Annexure ii (Dep)'!E8</f>
        <v>36.865000000000002</v>
      </c>
      <c r="F9" s="44">
        <f t="shared" si="2"/>
        <v>17.003999999999998</v>
      </c>
      <c r="G9" s="44">
        <f t="shared" si="3"/>
        <v>2.8109999999999999</v>
      </c>
      <c r="H9" s="45">
        <f ca="1">'IV(IWC2022-23)'!H9</f>
        <v>5.7787634842575351</v>
      </c>
      <c r="I9" s="46">
        <f t="shared" ca="1" si="4"/>
        <v>25.593763484257533</v>
      </c>
      <c r="J9" s="46">
        <f ca="1">I9*'FC(2019-24)'!$F$2</f>
        <v>3.0200640911423888</v>
      </c>
      <c r="R9" s="3"/>
    </row>
    <row r="10" spans="1:18" ht="24.75" customHeight="1">
      <c r="A10" s="43" t="s">
        <v>66</v>
      </c>
      <c r="B10" s="44">
        <f>'1(2021-22)'!B10</f>
        <v>3.55</v>
      </c>
      <c r="C10" s="44">
        <f t="shared" si="0"/>
        <v>1.0649999999999999</v>
      </c>
      <c r="D10" s="44">
        <f t="shared" si="1"/>
        <v>2.4849999999999999</v>
      </c>
      <c r="E10" s="44">
        <f>'1(2021-22)'!E10+'Annexure ii (Dep)'!E9</f>
        <v>1.8409836065573768</v>
      </c>
      <c r="F10" s="44">
        <f t="shared" si="2"/>
        <v>1.0649999999999999</v>
      </c>
      <c r="G10" s="44">
        <f t="shared" si="3"/>
        <v>0.64401639344262307</v>
      </c>
      <c r="H10" s="45">
        <f ca="1">'IV(IWC2022-23)'!H10</f>
        <v>0.56176209149675804</v>
      </c>
      <c r="I10" s="46">
        <f t="shared" ca="1" si="4"/>
        <v>2.2707784849393811</v>
      </c>
      <c r="J10" s="46">
        <f ca="1">I10*'FC(2019-24)'!$F$2</f>
        <v>0.26795186122284698</v>
      </c>
    </row>
    <row r="11" spans="1:18" ht="24.75" customHeight="1">
      <c r="A11" s="43" t="s">
        <v>19</v>
      </c>
      <c r="B11" s="44">
        <f>'1(2021-22)'!B11</f>
        <v>3107.0655000000002</v>
      </c>
      <c r="C11" s="44">
        <f t="shared" si="0"/>
        <v>932.11964999999998</v>
      </c>
      <c r="D11" s="44">
        <f t="shared" si="1"/>
        <v>2174.9458500000001</v>
      </c>
      <c r="E11" s="44">
        <f>'1(2021-22)'!E11+'Annexure ii (Dep)'!E10</f>
        <v>2796.3533333333335</v>
      </c>
      <c r="F11" s="44">
        <f t="shared" si="2"/>
        <v>310.71216666666669</v>
      </c>
      <c r="G11" s="44">
        <f t="shared" si="3"/>
        <v>0</v>
      </c>
      <c r="H11" s="45">
        <f ca="1">'IV(IWC2022-23)'!H11</f>
        <v>1171.5766073244888</v>
      </c>
      <c r="I11" s="46">
        <f t="shared" ca="1" si="4"/>
        <v>1482.2887739911555</v>
      </c>
      <c r="J11" s="46">
        <f ca="1">I11*'FC(2019-24)'!$F$2</f>
        <v>174.91007533095635</v>
      </c>
    </row>
    <row r="12" spans="1:18" ht="24.75" customHeight="1">
      <c r="A12" s="43" t="s">
        <v>20</v>
      </c>
      <c r="B12" s="39">
        <f>'1(2021-22)'!B12</f>
        <v>2044.6899999999998</v>
      </c>
      <c r="C12" s="44">
        <f t="shared" si="0"/>
        <v>613.40699999999993</v>
      </c>
      <c r="D12" s="44">
        <f t="shared" si="1"/>
        <v>1431.2829999999999</v>
      </c>
      <c r="E12" s="44">
        <f>'1(2021-22)'!E12+'Annexure ii (Dep)'!E11</f>
        <v>1809.75</v>
      </c>
      <c r="F12" s="44">
        <f t="shared" si="2"/>
        <v>234.93999999999983</v>
      </c>
      <c r="G12" s="44">
        <f t="shared" si="3"/>
        <v>0</v>
      </c>
      <c r="H12" s="45">
        <f ca="1">'IV(IWC2022-23)'!H12</f>
        <v>446.65224285576562</v>
      </c>
      <c r="I12" s="46">
        <f t="shared" ca="1" si="4"/>
        <v>681.59224285576545</v>
      </c>
      <c r="J12" s="46">
        <f ca="1">I12*'FC(2019-24)'!$F$2</f>
        <v>80.427884656980325</v>
      </c>
    </row>
    <row r="13" spans="1:18" ht="24.75" customHeight="1">
      <c r="A13" s="43" t="s">
        <v>123</v>
      </c>
      <c r="B13" s="39">
        <f>'1(2021-22)'!B13</f>
        <v>1875.71</v>
      </c>
      <c r="C13" s="44">
        <f t="shared" ref="C13:C17" si="5">B13*0.3</f>
        <v>562.71299999999997</v>
      </c>
      <c r="D13" s="44">
        <f t="shared" ref="D13:D17" si="6">B13-C13</f>
        <v>1312.9970000000001</v>
      </c>
      <c r="E13" s="44">
        <f>'1(2021-22)'!E13+'Annexure ii (Dep)'!E12</f>
        <v>1601.7407142857146</v>
      </c>
      <c r="F13" s="44">
        <f t="shared" ref="F13:F17" si="7">IF(E13&gt;D13,B13-E13,C13)</f>
        <v>273.96928571428543</v>
      </c>
      <c r="G13" s="44">
        <f t="shared" ref="G13:G17" si="8">IF(E13&lt;D13,D13-E13,0)</f>
        <v>0</v>
      </c>
      <c r="H13" s="45">
        <f ca="1">'IV(IWC2022-23)'!H13</f>
        <v>388.67111082913129</v>
      </c>
      <c r="I13" s="46">
        <f t="shared" ref="I13:I17" ca="1" si="9">F13+G13+H13</f>
        <v>662.64039654341673</v>
      </c>
      <c r="J13" s="46">
        <f ca="1">I13*'FC(2019-24)'!$F$2</f>
        <v>78.191566792123169</v>
      </c>
    </row>
    <row r="14" spans="1:18" ht="24.75" customHeight="1">
      <c r="A14" s="43" t="s">
        <v>124</v>
      </c>
      <c r="B14" s="39">
        <f>'1(2021-22)'!B14</f>
        <v>2157.7799999999997</v>
      </c>
      <c r="C14" s="44">
        <f t="shared" si="5"/>
        <v>647.33399999999995</v>
      </c>
      <c r="D14" s="44">
        <f t="shared" si="6"/>
        <v>1510.4459999999999</v>
      </c>
      <c r="E14" s="44">
        <f>'1(2021-22)'!E14+'Annexure ii (Dep)'!E13</f>
        <v>1630.4273333333333</v>
      </c>
      <c r="F14" s="44">
        <f t="shared" si="7"/>
        <v>527.35266666666644</v>
      </c>
      <c r="G14" s="44">
        <f t="shared" si="8"/>
        <v>0</v>
      </c>
      <c r="H14" s="45">
        <f ca="1">'IV(IWC2022-23)'!H14</f>
        <v>381.1697407664152</v>
      </c>
      <c r="I14" s="46">
        <f t="shared" ca="1" si="9"/>
        <v>908.52240743308164</v>
      </c>
      <c r="J14" s="46">
        <f ca="1">I14*'FC(2019-24)'!$F$2</f>
        <v>107.20564407710363</v>
      </c>
    </row>
    <row r="15" spans="1:18" ht="24.75" customHeight="1">
      <c r="A15" s="43" t="s">
        <v>125</v>
      </c>
      <c r="B15" s="39">
        <f>'1(2021-22)'!B15</f>
        <v>1219.1400000000001</v>
      </c>
      <c r="C15" s="44">
        <f t="shared" si="5"/>
        <v>365.74200000000002</v>
      </c>
      <c r="D15" s="44">
        <f t="shared" si="6"/>
        <v>853.39800000000014</v>
      </c>
      <c r="E15" s="44">
        <f>'1(2021-22)'!E15+'Annexure ii (Dep)'!E14</f>
        <v>921.19399999999996</v>
      </c>
      <c r="F15" s="44">
        <f t="shared" si="7"/>
        <v>297.94600000000014</v>
      </c>
      <c r="G15" s="44">
        <f t="shared" si="8"/>
        <v>0</v>
      </c>
      <c r="H15" s="45">
        <f ca="1">'IV(IWC2022-23)'!H15</f>
        <v>202.83481612693754</v>
      </c>
      <c r="I15" s="46">
        <f t="shared" ca="1" si="9"/>
        <v>500.78081612693768</v>
      </c>
      <c r="J15" s="46">
        <f ca="1">I15*'FC(2019-24)'!$F$2</f>
        <v>59.092136302978645</v>
      </c>
    </row>
    <row r="16" spans="1:18" ht="24.75" customHeight="1">
      <c r="A16" s="43" t="s">
        <v>126</v>
      </c>
      <c r="B16" s="86">
        <f>'1(2021-22)'!B16</f>
        <v>294.87909999999999</v>
      </c>
      <c r="C16" s="44">
        <f t="shared" si="5"/>
        <v>88.463729999999998</v>
      </c>
      <c r="D16" s="44">
        <f t="shared" si="6"/>
        <v>206.41537</v>
      </c>
      <c r="E16" s="44">
        <f>'1(2021-22)'!E16+'Annexure ii (Dep)'!E15</f>
        <v>39.499552666666666</v>
      </c>
      <c r="F16" s="44">
        <f t="shared" si="7"/>
        <v>88.463729999999998</v>
      </c>
      <c r="G16" s="44">
        <f t="shared" si="8"/>
        <v>166.91581733333334</v>
      </c>
      <c r="H16" s="45">
        <f ca="1">'IV(IWC2022-23)'!H16</f>
        <v>12.573124421155519</v>
      </c>
      <c r="I16" s="46">
        <f t="shared" ca="1" si="9"/>
        <v>267.95267175448885</v>
      </c>
      <c r="J16" s="46">
        <f ca="1">I16*'FC(2019-24)'!$F$2</f>
        <v>31.618415267029683</v>
      </c>
    </row>
    <row r="17" spans="1:10" ht="24.75" customHeight="1">
      <c r="A17" s="43" t="s">
        <v>127</v>
      </c>
      <c r="B17" s="87">
        <f>'1(2021-22)'!B17</f>
        <v>4853.38</v>
      </c>
      <c r="C17" s="44">
        <f t="shared" si="5"/>
        <v>1456.0139999999999</v>
      </c>
      <c r="D17" s="44">
        <f t="shared" si="6"/>
        <v>3397.366</v>
      </c>
      <c r="E17" s="44">
        <f>'1(2021-22)'!E17+'Annexure ii (Dep)'!E16</f>
        <v>1121.13078</v>
      </c>
      <c r="F17" s="44">
        <f t="shared" si="7"/>
        <v>1456.0139999999999</v>
      </c>
      <c r="G17" s="44">
        <f t="shared" si="8"/>
        <v>2276.23522</v>
      </c>
      <c r="H17" s="45">
        <f ca="1">'IV(IWC2022-23)'!H17</f>
        <v>620.77572698708991</v>
      </c>
      <c r="I17" s="46">
        <f t="shared" ca="1" si="9"/>
        <v>4353.0249469870896</v>
      </c>
      <c r="J17" s="46">
        <f ca="1">I17*'FC(2019-24)'!$F$2</f>
        <v>513.65694374447651</v>
      </c>
    </row>
    <row r="18" spans="1:10" ht="24" customHeight="1">
      <c r="A18" s="43" t="s">
        <v>130</v>
      </c>
      <c r="B18" s="87">
        <f>'1(2021-22)'!B18</f>
        <v>6143.88</v>
      </c>
      <c r="C18" s="44">
        <f t="shared" ref="C18" si="10">B18*0.3</f>
        <v>1843.164</v>
      </c>
      <c r="D18" s="44">
        <f t="shared" ref="D18" si="11">B18-C18</f>
        <v>4300.7160000000003</v>
      </c>
      <c r="E18" s="44">
        <f>'1(2021-22)'!E18+'Annexure ii (Dep)'!E17</f>
        <v>1102.2759908</v>
      </c>
      <c r="F18" s="44">
        <f t="shared" ref="F18" si="12">IF(E18&gt;D18,B18-E18,C18)</f>
        <v>1843.164</v>
      </c>
      <c r="G18" s="44">
        <f t="shared" ref="G18" si="13">IF(E18&lt;D18,D18-E18,0)</f>
        <v>3198.4400092000005</v>
      </c>
      <c r="H18" s="45">
        <f ca="1">'IV(IWC2022-23)'!H18</f>
        <v>718.03813038473584</v>
      </c>
      <c r="I18" s="46">
        <f t="shared" ref="I18" ca="1" si="14">F18+G18+H18</f>
        <v>5759.6421395847365</v>
      </c>
      <c r="J18" s="46">
        <f ca="1">I18*'FC(2019-24)'!$F$2</f>
        <v>679.63777247099881</v>
      </c>
    </row>
    <row r="19" spans="1:10" ht="27.75" customHeight="1">
      <c r="A19" s="43" t="s">
        <v>137</v>
      </c>
      <c r="B19" s="87">
        <f>'1(2021-22)'!B19</f>
        <v>5338.95</v>
      </c>
      <c r="C19" s="44">
        <f t="shared" ref="C19" si="15">B19*0.3</f>
        <v>1601.6849999999999</v>
      </c>
      <c r="D19" s="44">
        <f t="shared" ref="D19" si="16">B19-C19</f>
        <v>3737.2649999999999</v>
      </c>
      <c r="E19" s="44">
        <f>'1(2021-22)'!E19+'Annexure ii (Dep)'!E18</f>
        <v>23.598159000000003</v>
      </c>
      <c r="F19" s="44">
        <f t="shared" ref="F19" si="17">IF(E19&gt;D19,B19-E19,C19)</f>
        <v>1601.6849999999999</v>
      </c>
      <c r="G19" s="44">
        <f t="shared" ref="G19" si="18">IF(E19&lt;D19,D19-E19,0)</f>
        <v>3713.6668409999997</v>
      </c>
      <c r="H19" s="45">
        <f ca="1">'IV(IWC2022-23)'!H19</f>
        <v>212.37660527677662</v>
      </c>
      <c r="I19" s="46">
        <f t="shared" ref="I19" ca="1" si="19">F19+G19+H19</f>
        <v>5527.7284462767766</v>
      </c>
      <c r="J19" s="46">
        <f ca="1">I19*'FC(2019-24)'!$F$2*67%</f>
        <v>437.02221096264196</v>
      </c>
    </row>
  </sheetData>
  <mergeCells count="3">
    <mergeCell ref="A1:J1"/>
    <mergeCell ref="A2:J2"/>
    <mergeCell ref="H3:J3"/>
  </mergeCells>
  <phoneticPr fontId="2" type="noConversion"/>
  <pageMargins left="0.53" right="0.2" top="0.47" bottom="0.38" header="0.28999999999999998" footer="0.2800000000000000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R19"/>
  <sheetViews>
    <sheetView topLeftCell="A7" workbookViewId="0">
      <selection activeCell="I22" sqref="I22"/>
    </sheetView>
  </sheetViews>
  <sheetFormatPr defaultRowHeight="12.75"/>
  <cols>
    <col min="1" max="1" width="22.5703125" customWidth="1"/>
    <col min="2" max="2" width="14.85546875" customWidth="1"/>
    <col min="3" max="3" width="14" customWidth="1"/>
    <col min="4" max="4" width="10.5703125" customWidth="1"/>
    <col min="5" max="5" width="18.140625" customWidth="1"/>
    <col min="6" max="6" width="11.85546875" customWidth="1"/>
    <col min="7" max="7" width="11" customWidth="1"/>
    <col min="8" max="8" width="10.28515625" customWidth="1"/>
    <col min="9" max="9" width="10.5703125" customWidth="1"/>
    <col min="10" max="10" width="10" customWidth="1"/>
    <col min="14" max="14" width="8.5703125" customWidth="1"/>
  </cols>
  <sheetData>
    <row r="1" spans="1:18" ht="40.5" customHeight="1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8" ht="39.75" customHeight="1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8" ht="17.25" customHeight="1">
      <c r="A3" s="30"/>
      <c r="B3" s="30"/>
      <c r="C3" s="30"/>
      <c r="D3" s="30"/>
      <c r="E3" s="30"/>
      <c r="F3" s="30"/>
      <c r="G3" s="30"/>
      <c r="H3" s="115" t="s">
        <v>1</v>
      </c>
      <c r="I3" s="115"/>
      <c r="J3" s="115"/>
    </row>
    <row r="4" spans="1:18" ht="57.75" customHeight="1">
      <c r="A4" s="41" t="s">
        <v>2</v>
      </c>
      <c r="B4" s="41" t="s">
        <v>132</v>
      </c>
      <c r="C4" s="41" t="s">
        <v>133</v>
      </c>
      <c r="D4" s="41" t="s">
        <v>3</v>
      </c>
      <c r="E4" s="41" t="s">
        <v>109</v>
      </c>
      <c r="F4" s="41" t="s">
        <v>4</v>
      </c>
      <c r="G4" s="41" t="s">
        <v>5</v>
      </c>
      <c r="H4" s="42" t="s">
        <v>6</v>
      </c>
      <c r="I4" s="42" t="s">
        <v>7</v>
      </c>
      <c r="J4" s="42" t="s">
        <v>8</v>
      </c>
    </row>
    <row r="5" spans="1:18" ht="21.75" customHeight="1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8" ht="24.75" customHeight="1">
      <c r="A6" s="43" t="s">
        <v>10</v>
      </c>
      <c r="B6" s="39">
        <f>'1(2022-23)'!B6</f>
        <v>698.61</v>
      </c>
      <c r="C6" s="44">
        <f t="shared" ref="C6:C12" si="0">B6*0.3</f>
        <v>209.583</v>
      </c>
      <c r="D6" s="44">
        <f t="shared" ref="D6:D12" si="1">B6-C6</f>
        <v>489.02700000000004</v>
      </c>
      <c r="E6" s="44">
        <f>'1(2022-23)'!E6+'Annexure ii (Dep)'!F5</f>
        <v>564.5</v>
      </c>
      <c r="F6" s="44">
        <f t="shared" ref="F6:F12" si="2">IF(E6&gt;D6,B6-E6,C6)</f>
        <v>134.11000000000001</v>
      </c>
      <c r="G6" s="44">
        <f t="shared" ref="G6:G12" si="3">IF(E6&lt;D6,D6-E6,0)</f>
        <v>0</v>
      </c>
      <c r="H6" s="45">
        <f ca="1">'IV(IWC2023-24)'!H6</f>
        <v>138.62233763879459</v>
      </c>
      <c r="I6" s="46">
        <f t="shared" ref="I6:I12" ca="1" si="4">F6+G6+H6</f>
        <v>272.7323376387946</v>
      </c>
      <c r="J6" s="46">
        <f ca="1">I6*'FC(2019-24)'!$F$2</f>
        <v>32.182415841377761</v>
      </c>
    </row>
    <row r="7" spans="1:18" ht="24.75" customHeight="1">
      <c r="A7" s="43" t="s">
        <v>64</v>
      </c>
      <c r="B7" s="44">
        <f>'1(2022-23)'!B7</f>
        <v>114.78</v>
      </c>
      <c r="C7" s="44">
        <f t="shared" si="0"/>
        <v>34.433999999999997</v>
      </c>
      <c r="D7" s="44">
        <f t="shared" si="1"/>
        <v>80.346000000000004</v>
      </c>
      <c r="E7" s="44">
        <f>'1(2022-23)'!E7+'Annexure ii (Dep)'!F6</f>
        <v>97.487671913835953</v>
      </c>
      <c r="F7" s="44">
        <f t="shared" si="2"/>
        <v>17.292328086164048</v>
      </c>
      <c r="G7" s="44">
        <f t="shared" si="3"/>
        <v>0</v>
      </c>
      <c r="H7" s="45">
        <f ca="1">'IV(IWC2023-24)'!H7</f>
        <v>17.379724423820669</v>
      </c>
      <c r="I7" s="46">
        <f t="shared" ca="1" si="4"/>
        <v>34.672052509984717</v>
      </c>
      <c r="J7" s="46">
        <f ca="1">I7*'FC(2019-24)'!$F$2</f>
        <v>4.0913021961781961</v>
      </c>
    </row>
    <row r="8" spans="1:18" ht="24.75" customHeight="1">
      <c r="A8" s="43" t="s">
        <v>12</v>
      </c>
      <c r="B8" s="39">
        <f>'1(2022-23)'!B8</f>
        <v>963.7600000000001</v>
      </c>
      <c r="C8" s="44">
        <f t="shared" si="0"/>
        <v>289.12800000000004</v>
      </c>
      <c r="D8" s="44">
        <f t="shared" si="1"/>
        <v>674.63200000000006</v>
      </c>
      <c r="E8" s="44">
        <f>'1(2022-23)'!E8+'Annexure ii (Dep)'!F7</f>
        <v>808.1500000000002</v>
      </c>
      <c r="F8" s="44">
        <f t="shared" si="2"/>
        <v>155.6099999999999</v>
      </c>
      <c r="G8" s="44">
        <f t="shared" si="3"/>
        <v>0</v>
      </c>
      <c r="H8" s="45">
        <f ca="1">'IV(IWC2023-24)'!H8</f>
        <v>142.30041000732817</v>
      </c>
      <c r="I8" s="46">
        <f t="shared" ca="1" si="4"/>
        <v>297.9104100073281</v>
      </c>
      <c r="J8" s="46">
        <f ca="1">I8*'FC(2019-24)'!$F$2</f>
        <v>35.15342838086471</v>
      </c>
    </row>
    <row r="9" spans="1:18" ht="24.75" customHeight="1">
      <c r="A9" s="43" t="s">
        <v>65</v>
      </c>
      <c r="B9" s="44">
        <f>'1(2022-23)'!B9</f>
        <v>56.68</v>
      </c>
      <c r="C9" s="44">
        <f t="shared" si="0"/>
        <v>17.003999999999998</v>
      </c>
      <c r="D9" s="44">
        <f t="shared" si="1"/>
        <v>39.676000000000002</v>
      </c>
      <c r="E9" s="44">
        <f>'1(2022-23)'!E9+'Annexure ii (Dep)'!F8</f>
        <v>38.473333333333336</v>
      </c>
      <c r="F9" s="44">
        <f t="shared" si="2"/>
        <v>17.003999999999998</v>
      </c>
      <c r="G9" s="44">
        <f t="shared" si="3"/>
        <v>1.2026666666666657</v>
      </c>
      <c r="H9" s="45">
        <f ca="1">'IV(IWC2023-24)'!H9</f>
        <v>6.0522634023383661</v>
      </c>
      <c r="I9" s="46">
        <f t="shared" ca="1" si="4"/>
        <v>24.258930069005029</v>
      </c>
      <c r="J9" s="46">
        <f ca="1">I9*'FC(2019-24)'!$F$2</f>
        <v>2.8625537481425933</v>
      </c>
      <c r="R9" s="3"/>
    </row>
    <row r="10" spans="1:18" ht="24.75" customHeight="1">
      <c r="A10" s="43" t="s">
        <v>66</v>
      </c>
      <c r="B10" s="44">
        <f>'1(2022-23)'!B10</f>
        <v>3.55</v>
      </c>
      <c r="C10" s="44">
        <f t="shared" si="0"/>
        <v>1.0649999999999999</v>
      </c>
      <c r="D10" s="44">
        <f t="shared" si="1"/>
        <v>2.4849999999999999</v>
      </c>
      <c r="E10" s="44">
        <f>'1(2022-23)'!E10+'Annexure ii (Dep)'!F9</f>
        <v>1.9213114754098357</v>
      </c>
      <c r="F10" s="44">
        <f t="shared" si="2"/>
        <v>1.0649999999999999</v>
      </c>
      <c r="G10" s="44">
        <f t="shared" si="3"/>
        <v>0.56368852459016416</v>
      </c>
      <c r="H10" s="45">
        <f ca="1">'IV(IWC2023-24)'!H10</f>
        <v>0.59237807566820955</v>
      </c>
      <c r="I10" s="46">
        <f t="shared" ca="1" si="4"/>
        <v>2.2210666002583737</v>
      </c>
      <c r="J10" s="46">
        <f ca="1">I10*'FC(2019-24)'!$F$2</f>
        <v>0.26208585883048807</v>
      </c>
    </row>
    <row r="11" spans="1:18" ht="24.75" customHeight="1">
      <c r="A11" s="43" t="s">
        <v>19</v>
      </c>
      <c r="B11" s="44">
        <f>'1(2022-23)'!B11</f>
        <v>3107.0655000000002</v>
      </c>
      <c r="C11" s="44">
        <f t="shared" si="0"/>
        <v>932.11964999999998</v>
      </c>
      <c r="D11" s="44">
        <f t="shared" si="1"/>
        <v>2174.9458500000001</v>
      </c>
      <c r="E11" s="44">
        <f>'1(2022-23)'!E11+'Annexure ii (Dep)'!F10</f>
        <v>2796.3533333333335</v>
      </c>
      <c r="F11" s="44">
        <f t="shared" si="2"/>
        <v>310.71216666666669</v>
      </c>
      <c r="G11" s="44">
        <f t="shared" si="3"/>
        <v>0</v>
      </c>
      <c r="H11" s="45">
        <f ca="1">'IV(IWC2023-24)'!H11</f>
        <v>1192.3337743832012</v>
      </c>
      <c r="I11" s="46">
        <f t="shared" ca="1" si="4"/>
        <v>1503.0459410498679</v>
      </c>
      <c r="J11" s="46">
        <f ca="1">I11*'FC(2019-24)'!$F$2</f>
        <v>177.3594210438844</v>
      </c>
      <c r="M11" s="25"/>
    </row>
    <row r="12" spans="1:18" ht="24.75" customHeight="1">
      <c r="A12" s="43" t="s">
        <v>20</v>
      </c>
      <c r="B12" s="44">
        <f>'1(2022-23)'!B12</f>
        <v>2044.6899999999998</v>
      </c>
      <c r="C12" s="44">
        <f t="shared" si="0"/>
        <v>613.40699999999993</v>
      </c>
      <c r="D12" s="44">
        <f t="shared" si="1"/>
        <v>1431.2829999999999</v>
      </c>
      <c r="E12" s="44">
        <f>'1(2022-23)'!E12+'Annexure ii (Dep)'!F11</f>
        <v>1824.98</v>
      </c>
      <c r="F12" s="44">
        <f t="shared" si="2"/>
        <v>219.70999999999981</v>
      </c>
      <c r="G12" s="44">
        <f t="shared" si="3"/>
        <v>0</v>
      </c>
      <c r="H12" s="45">
        <f ca="1">'IV(IWC2023-24)'!H12</f>
        <v>454.70133115013078</v>
      </c>
      <c r="I12" s="46">
        <f t="shared" ca="1" si="4"/>
        <v>674.41133115013054</v>
      </c>
      <c r="J12" s="46">
        <f ca="1">I12*'FC(2019-24)'!$F$2</f>
        <v>79.580537075715398</v>
      </c>
      <c r="L12" s="25"/>
    </row>
    <row r="13" spans="1:18" ht="24.75" customHeight="1">
      <c r="A13" s="43" t="s">
        <v>123</v>
      </c>
      <c r="B13" s="39">
        <f>'1(2022-23)'!B13</f>
        <v>1875.71</v>
      </c>
      <c r="C13" s="44">
        <f t="shared" ref="C13:C17" si="5">B13*0.3</f>
        <v>562.71299999999997</v>
      </c>
      <c r="D13" s="44">
        <f t="shared" ref="D13:D17" si="6">B13-C13</f>
        <v>1312.9970000000001</v>
      </c>
      <c r="E13" s="44">
        <f>'1(2022-23)'!E13+'Annexure ii (Dep)'!F12</f>
        <v>1609.5942857142861</v>
      </c>
      <c r="F13" s="44">
        <f t="shared" ref="F13:F17" si="7">IF(E13&gt;D13,B13-E13,C13)</f>
        <v>266.11571428571392</v>
      </c>
      <c r="G13" s="44">
        <f t="shared" ref="G13:G17" si="8">IF(E13&lt;D13,D13-E13,0)</f>
        <v>0</v>
      </c>
      <c r="H13" s="45">
        <f ca="1">'IV(IWC2023-24)'!H13</f>
        <v>393.77473104343824</v>
      </c>
      <c r="I13" s="46">
        <f t="shared" ref="I13:I17" ca="1" si="9">F13+G13+H13</f>
        <v>659.89044532915216</v>
      </c>
      <c r="J13" s="46">
        <f ca="1">I13*'FC(2019-24)'!$F$2</f>
        <v>77.867072548839957</v>
      </c>
    </row>
    <row r="14" spans="1:18" ht="24.75" customHeight="1">
      <c r="A14" s="43" t="s">
        <v>124</v>
      </c>
      <c r="B14" s="39">
        <f>'1(2022-23)'!B14</f>
        <v>2157.7799999999997</v>
      </c>
      <c r="C14" s="44">
        <f t="shared" si="5"/>
        <v>647.33399999999995</v>
      </c>
      <c r="D14" s="44">
        <f t="shared" si="6"/>
        <v>1510.4459999999999</v>
      </c>
      <c r="E14" s="44">
        <f>'1(2022-23)'!E14+'Annexure ii (Dep)'!F13</f>
        <v>1654.3973333333333</v>
      </c>
      <c r="F14" s="44">
        <f t="shared" si="7"/>
        <v>503.38266666666641</v>
      </c>
      <c r="G14" s="44">
        <f t="shared" si="8"/>
        <v>0</v>
      </c>
      <c r="H14" s="45">
        <f ca="1">'IV(IWC2023-24)'!H14</f>
        <v>385.3711691349971</v>
      </c>
      <c r="I14" s="46">
        <f t="shared" ca="1" si="9"/>
        <v>888.75383580166351</v>
      </c>
      <c r="J14" s="46">
        <f ca="1">I14*'FC(2019-24)'!$F$2</f>
        <v>104.87295262459629</v>
      </c>
    </row>
    <row r="15" spans="1:18" ht="24.75" customHeight="1">
      <c r="A15" s="43" t="s">
        <v>125</v>
      </c>
      <c r="B15" s="39">
        <f>'1(2022-23)'!B15</f>
        <v>1219.1400000000001</v>
      </c>
      <c r="C15" s="44">
        <f t="shared" si="5"/>
        <v>365.74200000000002</v>
      </c>
      <c r="D15" s="44">
        <f t="shared" si="6"/>
        <v>853.39800000000014</v>
      </c>
      <c r="E15" s="44">
        <f>'1(2022-23)'!E15+'Annexure ii (Dep)'!F14</f>
        <v>933.76400000000001</v>
      </c>
      <c r="F15" s="44">
        <f t="shared" si="7"/>
        <v>285.37600000000009</v>
      </c>
      <c r="G15" s="44">
        <f t="shared" si="8"/>
        <v>0</v>
      </c>
      <c r="H15" s="45">
        <f ca="1">'IV(IWC2023-24)'!H15</f>
        <v>205.36526285387163</v>
      </c>
      <c r="I15" s="46">
        <f t="shared" ca="1" si="9"/>
        <v>490.74126285387172</v>
      </c>
      <c r="J15" s="46">
        <f ca="1">I15*'FC(2019-24)'!$F$2</f>
        <v>57.907469016756856</v>
      </c>
    </row>
    <row r="16" spans="1:18" ht="24.75" customHeight="1">
      <c r="A16" s="43" t="s">
        <v>126</v>
      </c>
      <c r="B16" s="86">
        <f>'1(2022-23)'!B16</f>
        <v>294.87909999999999</v>
      </c>
      <c r="C16" s="44">
        <f t="shared" si="5"/>
        <v>88.463729999999998</v>
      </c>
      <c r="D16" s="44">
        <f t="shared" si="6"/>
        <v>206.41537</v>
      </c>
      <c r="E16" s="44">
        <f>'1(2022-23)'!E16+'Annexure ii (Dep)'!F15</f>
        <v>49.529552666666667</v>
      </c>
      <c r="F16" s="44">
        <f t="shared" si="7"/>
        <v>88.463729999999998</v>
      </c>
      <c r="G16" s="44">
        <f t="shared" si="8"/>
        <v>156.88581733333334</v>
      </c>
      <c r="H16" s="45">
        <f ca="1">'IV(IWC2023-24)'!H16</f>
        <v>12.663572746101316</v>
      </c>
      <c r="I16" s="46">
        <f t="shared" ca="1" si="9"/>
        <v>258.01312007943466</v>
      </c>
      <c r="J16" s="46">
        <f ca="1">I16*'FC(2019-24)'!$F$2</f>
        <v>30.445548169373289</v>
      </c>
    </row>
    <row r="17" spans="1:10" ht="24.75" customHeight="1">
      <c r="A17" s="43" t="s">
        <v>127</v>
      </c>
      <c r="B17" s="87">
        <f>'1(2022-23)'!B17</f>
        <v>4853.38</v>
      </c>
      <c r="C17" s="44">
        <f t="shared" si="5"/>
        <v>1456.0139999999999</v>
      </c>
      <c r="D17" s="44">
        <f t="shared" si="6"/>
        <v>3397.366</v>
      </c>
      <c r="E17" s="44">
        <f>'1(2022-23)'!E17+'Annexure ii (Dep)'!F16</f>
        <v>1494.84104</v>
      </c>
      <c r="F17" s="44">
        <f t="shared" si="7"/>
        <v>1456.0139999999999</v>
      </c>
      <c r="G17" s="44">
        <f t="shared" si="8"/>
        <v>1902.52496</v>
      </c>
      <c r="H17" s="45">
        <f ca="1">'IV(IWC2023-24)'!H17</f>
        <v>617.92101004654171</v>
      </c>
      <c r="I17" s="46">
        <f t="shared" ca="1" si="9"/>
        <v>3976.4599700465415</v>
      </c>
      <c r="J17" s="46">
        <f ca="1">I17*'FC(2019-24)'!$F$2</f>
        <v>469.22227646549186</v>
      </c>
    </row>
    <row r="18" spans="1:10" ht="24.75" customHeight="1">
      <c r="A18" s="43" t="s">
        <v>131</v>
      </c>
      <c r="B18" s="87">
        <f>'1(2022-23)'!B18</f>
        <v>6143.88</v>
      </c>
      <c r="C18" s="44">
        <f t="shared" ref="C18" si="10">B18*0.3</f>
        <v>1843.164</v>
      </c>
      <c r="D18" s="44">
        <f t="shared" ref="D18" si="11">B18-C18</f>
        <v>4300.7160000000003</v>
      </c>
      <c r="E18" s="44">
        <f>'1(2022-23)'!E18+'Annexure ii (Dep)'!F17</f>
        <v>1575.3559908</v>
      </c>
      <c r="F18" s="44">
        <f t="shared" ref="F18" si="12">IF(E18&gt;D18,B18-E18,C18)</f>
        <v>1843.164</v>
      </c>
      <c r="G18" s="44">
        <f t="shared" ref="G18" si="13">IF(E18&lt;D18,D18-E18,0)</f>
        <v>2725.3600092000006</v>
      </c>
      <c r="H18" s="45">
        <f ca="1">'IV(IWC2023-24)'!H18</f>
        <v>714.58745954798985</v>
      </c>
      <c r="I18" s="46">
        <f t="shared" ref="I18" ca="1" si="14">F18+G18+H18</f>
        <v>5283.1114687479903</v>
      </c>
      <c r="J18" s="46">
        <f ca="1">I18*'FC(2019-24)'!$F$2</f>
        <v>623.40715331226284</v>
      </c>
    </row>
    <row r="19" spans="1:10" ht="24" customHeight="1">
      <c r="A19" s="43" t="s">
        <v>138</v>
      </c>
      <c r="B19" s="87">
        <f>'1(2022-23)'!B19</f>
        <v>5338.95</v>
      </c>
      <c r="C19" s="44">
        <f t="shared" ref="C19" si="15">B19*0.3</f>
        <v>1601.6849999999999</v>
      </c>
      <c r="D19" s="44">
        <f t="shared" ref="D19" si="16">B19-C19</f>
        <v>3737.2649999999999</v>
      </c>
      <c r="E19" s="44">
        <f>'1(2022-23)'!E19+'Annexure ii (Dep)'!F18</f>
        <v>145.21944000000002</v>
      </c>
      <c r="F19" s="44">
        <f t="shared" ref="F19" si="17">IF(E19&gt;D19,B19-E19,C19)</f>
        <v>1601.6849999999999</v>
      </c>
      <c r="G19" s="44">
        <f t="shared" ref="G19" si="18">IF(E19&lt;D19,D19-E19,0)</f>
        <v>3592.04556</v>
      </c>
      <c r="H19" s="45">
        <f ca="1">'IV(IWC2023-24)'!H19</f>
        <v>209.93673598775925</v>
      </c>
      <c r="I19" s="46">
        <f t="shared" ref="I19" ca="1" si="19">F19+G19+H19</f>
        <v>5403.6672959877596</v>
      </c>
      <c r="J19" s="46">
        <f ca="1">I19*'FC(2019-24)'!$F$2*99%</f>
        <v>631.25641351729007</v>
      </c>
    </row>
  </sheetData>
  <mergeCells count="3">
    <mergeCell ref="A1:J1"/>
    <mergeCell ref="A2:J2"/>
    <mergeCell ref="H3:J3"/>
  </mergeCells>
  <phoneticPr fontId="2" type="noConversion"/>
  <pageMargins left="0.33" right="0.2" top="0.47" bottom="0.38" header="0.28999999999999998" footer="0.2800000000000000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G18"/>
  <sheetViews>
    <sheetView topLeftCell="A4" workbookViewId="0">
      <selection activeCell="J19" sqref="J19"/>
    </sheetView>
  </sheetViews>
  <sheetFormatPr defaultRowHeight="15"/>
  <cols>
    <col min="1" max="1" width="7.85546875" style="32" customWidth="1"/>
    <col min="2" max="2" width="25.140625" style="32" customWidth="1"/>
    <col min="3" max="7" width="11" style="32" customWidth="1"/>
    <col min="8" max="16384" width="9.140625" style="32"/>
  </cols>
  <sheetData>
    <row r="1" spans="1:7" ht="33.75" customHeight="1">
      <c r="A1" s="114" t="s">
        <v>32</v>
      </c>
      <c r="B1" s="114"/>
      <c r="C1" s="114"/>
      <c r="D1" s="114"/>
      <c r="E1" s="114"/>
      <c r="F1" s="114"/>
      <c r="G1" s="114"/>
    </row>
    <row r="2" spans="1:7" ht="27.75" customHeight="1">
      <c r="A2" s="116" t="s">
        <v>33</v>
      </c>
      <c r="B2" s="116"/>
      <c r="C2" s="116"/>
      <c r="D2" s="116"/>
      <c r="E2" s="116"/>
      <c r="F2" s="116"/>
      <c r="G2" s="116"/>
    </row>
    <row r="3" spans="1:7" ht="24.75" customHeight="1">
      <c r="A3" s="50"/>
      <c r="B3" s="50"/>
      <c r="D3" s="51"/>
      <c r="E3" s="51"/>
      <c r="F3" s="52" t="s">
        <v>34</v>
      </c>
      <c r="G3" s="51"/>
    </row>
    <row r="4" spans="1:7" ht="30" customHeight="1">
      <c r="A4" s="41" t="s">
        <v>35</v>
      </c>
      <c r="B4" s="41" t="s">
        <v>36</v>
      </c>
      <c r="C4" s="41" t="s">
        <v>90</v>
      </c>
      <c r="D4" s="41" t="s">
        <v>91</v>
      </c>
      <c r="E4" s="41" t="s">
        <v>92</v>
      </c>
      <c r="F4" s="41" t="s">
        <v>93</v>
      </c>
      <c r="G4" s="41" t="s">
        <v>94</v>
      </c>
    </row>
    <row r="5" spans="1:7" ht="30" customHeight="1">
      <c r="A5" s="41">
        <v>1</v>
      </c>
      <c r="B5" s="53" t="s">
        <v>10</v>
      </c>
      <c r="C5" s="44">
        <v>20.62</v>
      </c>
      <c r="D5" s="44">
        <f t="shared" ref="D5:G11" si="0">C5</f>
        <v>20.62</v>
      </c>
      <c r="E5" s="44">
        <f t="shared" si="0"/>
        <v>20.62</v>
      </c>
      <c r="F5" s="44">
        <f t="shared" si="0"/>
        <v>20.62</v>
      </c>
      <c r="G5" s="44">
        <f t="shared" si="0"/>
        <v>20.62</v>
      </c>
    </row>
    <row r="6" spans="1:7" ht="30" customHeight="1">
      <c r="A6" s="41">
        <v>2</v>
      </c>
      <c r="B6" s="53" t="s">
        <v>64</v>
      </c>
      <c r="C6" s="44">
        <f>38.43*90/965.6</f>
        <v>3.5819179784589887</v>
      </c>
      <c r="D6" s="44">
        <f t="shared" si="0"/>
        <v>3.5819179784589887</v>
      </c>
      <c r="E6" s="44">
        <f t="shared" si="0"/>
        <v>3.5819179784589887</v>
      </c>
      <c r="F6" s="44">
        <f t="shared" si="0"/>
        <v>3.5819179784589887</v>
      </c>
      <c r="G6" s="44">
        <f t="shared" si="0"/>
        <v>3.5819179784589887</v>
      </c>
    </row>
    <row r="7" spans="1:7" ht="30" customHeight="1">
      <c r="A7" s="41">
        <v>3</v>
      </c>
      <c r="B7" s="53" t="s">
        <v>12</v>
      </c>
      <c r="C7" s="44">
        <v>32.090000000000003</v>
      </c>
      <c r="D7" s="44">
        <f t="shared" si="0"/>
        <v>32.090000000000003</v>
      </c>
      <c r="E7" s="44">
        <f t="shared" si="0"/>
        <v>32.090000000000003</v>
      </c>
      <c r="F7" s="44">
        <f t="shared" si="0"/>
        <v>32.090000000000003</v>
      </c>
      <c r="G7" s="44">
        <f t="shared" si="0"/>
        <v>32.090000000000003</v>
      </c>
    </row>
    <row r="8" spans="1:7" ht="30" customHeight="1">
      <c r="A8" s="41">
        <v>4</v>
      </c>
      <c r="B8" s="53" t="s">
        <v>65</v>
      </c>
      <c r="C8" s="44">
        <f>5.79*20/72</f>
        <v>1.6083333333333334</v>
      </c>
      <c r="D8" s="44">
        <f t="shared" si="0"/>
        <v>1.6083333333333334</v>
      </c>
      <c r="E8" s="44">
        <f t="shared" si="0"/>
        <v>1.6083333333333334</v>
      </c>
      <c r="F8" s="44">
        <f t="shared" si="0"/>
        <v>1.6083333333333334</v>
      </c>
      <c r="G8" s="44">
        <f t="shared" si="0"/>
        <v>1.6083333333333334</v>
      </c>
    </row>
    <row r="9" spans="1:7" ht="30" customHeight="1">
      <c r="A9" s="41">
        <v>5</v>
      </c>
      <c r="B9" s="53" t="s">
        <v>66</v>
      </c>
      <c r="C9" s="44">
        <f>0.98/12.2</f>
        <v>8.0327868852459017E-2</v>
      </c>
      <c r="D9" s="44">
        <f t="shared" si="0"/>
        <v>8.0327868852459017E-2</v>
      </c>
      <c r="E9" s="44">
        <f t="shared" si="0"/>
        <v>8.0327868852459017E-2</v>
      </c>
      <c r="F9" s="44">
        <f t="shared" si="0"/>
        <v>8.0327868852459017E-2</v>
      </c>
      <c r="G9" s="44">
        <f t="shared" si="0"/>
        <v>8.0327868852459017E-2</v>
      </c>
    </row>
    <row r="10" spans="1:7" ht="30" customHeight="1">
      <c r="A10" s="41">
        <v>6</v>
      </c>
      <c r="B10" s="53" t="s">
        <v>19</v>
      </c>
      <c r="C10" s="54">
        <f>124.78/3</f>
        <v>41.593333333333334</v>
      </c>
      <c r="D10" s="44">
        <v>41.59</v>
      </c>
      <c r="E10" s="44">
        <v>41.59</v>
      </c>
      <c r="F10" s="44">
        <v>0</v>
      </c>
      <c r="G10" s="44">
        <v>0</v>
      </c>
    </row>
    <row r="11" spans="1:7" ht="30" customHeight="1">
      <c r="A11" s="41">
        <v>7</v>
      </c>
      <c r="B11" s="53" t="s">
        <v>20</v>
      </c>
      <c r="C11" s="54">
        <v>15.23</v>
      </c>
      <c r="D11" s="44">
        <f>C11</f>
        <v>15.23</v>
      </c>
      <c r="E11" s="44">
        <f>D11</f>
        <v>15.23</v>
      </c>
      <c r="F11" s="44">
        <f t="shared" si="0"/>
        <v>15.23</v>
      </c>
      <c r="G11" s="44">
        <f t="shared" si="0"/>
        <v>15.23</v>
      </c>
    </row>
    <row r="12" spans="1:7" ht="30" customHeight="1">
      <c r="A12" s="41">
        <v>8</v>
      </c>
      <c r="B12" s="53" t="s">
        <v>128</v>
      </c>
      <c r="C12" s="44">
        <f>109.95/14</f>
        <v>7.8535714285714286</v>
      </c>
      <c r="D12" s="44">
        <f>C12</f>
        <v>7.8535714285714286</v>
      </c>
      <c r="E12" s="44">
        <f>D12</f>
        <v>7.8535714285714286</v>
      </c>
      <c r="F12" s="44">
        <f>E12</f>
        <v>7.8535714285714286</v>
      </c>
      <c r="G12" s="44">
        <f>F12</f>
        <v>7.8535714285714286</v>
      </c>
    </row>
    <row r="13" spans="1:7" ht="30" customHeight="1">
      <c r="A13" s="41">
        <v>9</v>
      </c>
      <c r="B13" s="53" t="s">
        <v>124</v>
      </c>
      <c r="C13" s="44">
        <v>156.97999999999999</v>
      </c>
      <c r="D13" s="44">
        <f>359.51/15</f>
        <v>23.967333333333332</v>
      </c>
      <c r="E13" s="44">
        <v>23.97</v>
      </c>
      <c r="F13" s="44">
        <v>23.97</v>
      </c>
      <c r="G13" s="44">
        <v>23.97</v>
      </c>
    </row>
    <row r="14" spans="1:7" ht="30" customHeight="1">
      <c r="A14" s="41">
        <v>10</v>
      </c>
      <c r="B14" s="53" t="s">
        <v>125</v>
      </c>
      <c r="C14" s="44">
        <v>90.11</v>
      </c>
      <c r="D14" s="44">
        <v>90.11</v>
      </c>
      <c r="E14" s="44">
        <f>188.61/15</f>
        <v>12.574000000000002</v>
      </c>
      <c r="F14" s="44">
        <v>12.57</v>
      </c>
      <c r="G14" s="44">
        <f>F14</f>
        <v>12.57</v>
      </c>
    </row>
    <row r="15" spans="1:7" ht="30" customHeight="1">
      <c r="A15" s="41">
        <v>11</v>
      </c>
      <c r="B15" s="53" t="s">
        <v>126</v>
      </c>
      <c r="C15" s="86">
        <v>9.35</v>
      </c>
      <c r="D15" s="86">
        <v>10.029999999999999</v>
      </c>
      <c r="E15" s="86">
        <v>10.029999999999999</v>
      </c>
      <c r="F15" s="86">
        <v>10.029999999999999</v>
      </c>
      <c r="G15" s="86">
        <v>10.029999999999999</v>
      </c>
    </row>
    <row r="16" spans="1:7" ht="30" customHeight="1">
      <c r="A16" s="41">
        <v>12</v>
      </c>
      <c r="B16" s="53" t="s">
        <v>127</v>
      </c>
      <c r="C16" s="86">
        <f>4853.38*7.7%</f>
        <v>373.71026000000001</v>
      </c>
      <c r="D16" s="86">
        <f t="shared" ref="D16:G16" si="1">4853.38*7.7%</f>
        <v>373.71026000000001</v>
      </c>
      <c r="E16" s="86">
        <f t="shared" si="1"/>
        <v>373.71026000000001</v>
      </c>
      <c r="F16" s="86">
        <f t="shared" si="1"/>
        <v>373.71026000000001</v>
      </c>
      <c r="G16" s="86">
        <f t="shared" si="1"/>
        <v>373.71026000000001</v>
      </c>
    </row>
    <row r="17" spans="1:7" ht="30" customHeight="1">
      <c r="A17" s="41">
        <v>13</v>
      </c>
      <c r="B17" s="53" t="s">
        <v>130</v>
      </c>
      <c r="C17" s="86">
        <f>6143.88*7.7%*33%</f>
        <v>156.11599079999999</v>
      </c>
      <c r="D17" s="86">
        <v>473.08</v>
      </c>
      <c r="E17" s="86">
        <f t="shared" ref="E17:G17" si="2">D17</f>
        <v>473.08</v>
      </c>
      <c r="F17" s="86">
        <f t="shared" si="2"/>
        <v>473.08</v>
      </c>
      <c r="G17" s="86">
        <f t="shared" si="2"/>
        <v>473.08</v>
      </c>
    </row>
    <row r="18" spans="1:7" ht="21.75" customHeight="1">
      <c r="A18" s="41">
        <v>14</v>
      </c>
      <c r="B18" s="53" t="s">
        <v>137</v>
      </c>
      <c r="C18" s="86"/>
      <c r="D18" s="86"/>
      <c r="E18" s="86">
        <f>5338.95*3.4%*13%</f>
        <v>23.598159000000003</v>
      </c>
      <c r="F18" s="86">
        <f>5338.95*3.4%*67%</f>
        <v>121.62128100000001</v>
      </c>
      <c r="G18" s="86">
        <f>5338.95*3.4%*99%</f>
        <v>179.709057</v>
      </c>
    </row>
  </sheetData>
  <mergeCells count="2">
    <mergeCell ref="A1:G1"/>
    <mergeCell ref="A2:G2"/>
  </mergeCells>
  <phoneticPr fontId="2" type="noConversion"/>
  <pageMargins left="0.76" right="0.26" top="0.36" bottom="0.3" header="0.24" footer="0.23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G19"/>
  <sheetViews>
    <sheetView workbookViewId="0">
      <selection activeCell="J6" sqref="J6"/>
    </sheetView>
  </sheetViews>
  <sheetFormatPr defaultRowHeight="15"/>
  <cols>
    <col min="1" max="1" width="7" style="32" customWidth="1"/>
    <col min="2" max="2" width="22.85546875" style="32" customWidth="1"/>
    <col min="3" max="4" width="14.140625" style="36" customWidth="1"/>
    <col min="5" max="5" width="14.42578125" style="32" customWidth="1"/>
    <col min="6" max="6" width="13" style="32" customWidth="1"/>
    <col min="7" max="7" width="13.140625" style="32" customWidth="1"/>
    <col min="8" max="16384" width="9.140625" style="32"/>
  </cols>
  <sheetData>
    <row r="1" spans="1:7" ht="30.75" customHeight="1">
      <c r="A1" s="116" t="s">
        <v>37</v>
      </c>
      <c r="B1" s="116"/>
      <c r="C1" s="116"/>
      <c r="D1" s="116"/>
      <c r="E1" s="116"/>
      <c r="F1" s="116"/>
      <c r="G1" s="116"/>
    </row>
    <row r="2" spans="1:7" ht="27.75" customHeight="1">
      <c r="A2" s="118" t="s">
        <v>117</v>
      </c>
      <c r="B2" s="118"/>
      <c r="C2" s="118"/>
      <c r="D2" s="118"/>
      <c r="E2" s="118"/>
      <c r="F2" s="118"/>
      <c r="G2" s="118"/>
    </row>
    <row r="3" spans="1:7" ht="39.75" customHeight="1">
      <c r="A3" s="117" t="s">
        <v>35</v>
      </c>
      <c r="B3" s="117" t="s">
        <v>2</v>
      </c>
      <c r="C3" s="42" t="s">
        <v>83</v>
      </c>
      <c r="D3" s="42" t="s">
        <v>84</v>
      </c>
      <c r="E3" s="42" t="s">
        <v>85</v>
      </c>
      <c r="F3" s="42" t="s">
        <v>86</v>
      </c>
      <c r="G3" s="42" t="s">
        <v>87</v>
      </c>
    </row>
    <row r="4" spans="1:7" ht="64.5" customHeight="1">
      <c r="A4" s="117"/>
      <c r="B4" s="117"/>
      <c r="C4" s="41" t="s">
        <v>110</v>
      </c>
      <c r="D4" s="41" t="s">
        <v>69</v>
      </c>
      <c r="E4" s="41" t="s">
        <v>69</v>
      </c>
      <c r="F4" s="41" t="s">
        <v>69</v>
      </c>
      <c r="G4" s="41" t="s">
        <v>69</v>
      </c>
    </row>
    <row r="5" spans="1:7" ht="21.95" customHeight="1">
      <c r="A5" s="59">
        <v>1</v>
      </c>
      <c r="B5" s="53" t="s">
        <v>10</v>
      </c>
      <c r="C5" s="60">
        <v>168.65365686524575</v>
      </c>
      <c r="D5" s="60">
        <f>C5*1.0664</f>
        <v>179.85225968109808</v>
      </c>
      <c r="E5" s="60">
        <f>D5*1.0664</f>
        <v>191.79444972392298</v>
      </c>
      <c r="F5" s="60">
        <f>E5*1.0664</f>
        <v>204.52960118559147</v>
      </c>
      <c r="G5" s="60">
        <f t="shared" ref="G5" si="0">F5*1.0664</f>
        <v>218.11036670431474</v>
      </c>
    </row>
    <row r="6" spans="1:7" ht="30" customHeight="1">
      <c r="A6" s="59">
        <v>2</v>
      </c>
      <c r="B6" s="53" t="s">
        <v>64</v>
      </c>
      <c r="C6" s="60">
        <v>18.373659361083106</v>
      </c>
      <c r="D6" s="60">
        <f t="shared" ref="D6:E11" si="1">C6*1.0664</f>
        <v>19.593670342659024</v>
      </c>
      <c r="E6" s="60">
        <f t="shared" si="1"/>
        <v>20.894690053411583</v>
      </c>
      <c r="F6" s="60">
        <f t="shared" ref="F6:F16" si="2">E6*1.0664</f>
        <v>22.282097472958114</v>
      </c>
      <c r="G6" s="60">
        <f t="shared" ref="G6" si="3">F6*1.0664</f>
        <v>23.761628745162533</v>
      </c>
    </row>
    <row r="7" spans="1:7" ht="21.95" customHeight="1">
      <c r="A7" s="59">
        <v>3</v>
      </c>
      <c r="B7" s="53" t="s">
        <v>12</v>
      </c>
      <c r="C7" s="60">
        <v>139.11062633749586</v>
      </c>
      <c r="D7" s="60">
        <f t="shared" si="1"/>
        <v>148.34757192630559</v>
      </c>
      <c r="E7" s="60">
        <f t="shared" si="1"/>
        <v>158.19785070221229</v>
      </c>
      <c r="F7" s="60">
        <f t="shared" si="2"/>
        <v>168.7021879888392</v>
      </c>
      <c r="G7" s="60">
        <f t="shared" ref="G7" si="4">F7*1.0664</f>
        <v>179.90401327129811</v>
      </c>
    </row>
    <row r="8" spans="1:7" ht="21.95" customHeight="1">
      <c r="A8" s="59">
        <v>4</v>
      </c>
      <c r="B8" s="53" t="s">
        <v>65</v>
      </c>
      <c r="C8" s="60">
        <v>7.800605960777836</v>
      </c>
      <c r="D8" s="60">
        <f t="shared" si="1"/>
        <v>8.3185661965734852</v>
      </c>
      <c r="E8" s="60">
        <f t="shared" si="1"/>
        <v>8.870918992025965</v>
      </c>
      <c r="F8" s="60">
        <f t="shared" si="2"/>
        <v>9.4599480130964899</v>
      </c>
      <c r="G8" s="60">
        <f t="shared" ref="G8" si="5">F8*1.0664</f>
        <v>10.088088561166098</v>
      </c>
    </row>
    <row r="9" spans="1:7" ht="21.95" customHeight="1">
      <c r="A9" s="59">
        <v>5</v>
      </c>
      <c r="B9" s="53" t="s">
        <v>67</v>
      </c>
      <c r="C9" s="60">
        <v>1.1986533537158357</v>
      </c>
      <c r="D9" s="60">
        <f t="shared" si="1"/>
        <v>1.2782439364025673</v>
      </c>
      <c r="E9" s="60">
        <f t="shared" si="1"/>
        <v>1.3631193337796979</v>
      </c>
      <c r="F9" s="60">
        <f t="shared" si="2"/>
        <v>1.4536304575426697</v>
      </c>
      <c r="G9" s="60">
        <f t="shared" ref="G9" si="6">F9*1.0664</f>
        <v>1.550151519923503</v>
      </c>
    </row>
    <row r="10" spans="1:7" ht="21.95" customHeight="1">
      <c r="A10" s="59">
        <v>6</v>
      </c>
      <c r="B10" s="53" t="s">
        <v>19</v>
      </c>
      <c r="C10" s="60">
        <v>590.45714880000003</v>
      </c>
      <c r="D10" s="60">
        <f t="shared" si="1"/>
        <v>629.66350348032006</v>
      </c>
      <c r="E10" s="60">
        <f t="shared" si="1"/>
        <v>671.47316011141334</v>
      </c>
      <c r="F10" s="60">
        <f t="shared" si="2"/>
        <v>716.05897794281123</v>
      </c>
      <c r="G10" s="60">
        <f t="shared" ref="G10" si="7">F10*1.0664</f>
        <v>763.60529407821389</v>
      </c>
    </row>
    <row r="11" spans="1:7" ht="21.95" customHeight="1">
      <c r="A11" s="59">
        <v>7</v>
      </c>
      <c r="B11" s="53" t="s">
        <v>20</v>
      </c>
      <c r="C11" s="60">
        <v>196.814784</v>
      </c>
      <c r="D11" s="60">
        <f t="shared" si="1"/>
        <v>209.8832856576</v>
      </c>
      <c r="E11" s="60">
        <f t="shared" si="1"/>
        <v>223.81953582526464</v>
      </c>
      <c r="F11" s="60">
        <f t="shared" si="2"/>
        <v>238.68115300406222</v>
      </c>
      <c r="G11" s="60">
        <f t="shared" ref="G11:G17" si="8">F11*1.0664</f>
        <v>254.52958156353196</v>
      </c>
    </row>
    <row r="12" spans="1:7" ht="21.95" customHeight="1">
      <c r="A12" s="59">
        <v>8</v>
      </c>
      <c r="B12" s="53" t="s">
        <v>128</v>
      </c>
      <c r="C12" s="60">
        <v>196.814784</v>
      </c>
      <c r="D12" s="60">
        <f>C12*1.0664</f>
        <v>209.8832856576</v>
      </c>
      <c r="E12" s="60">
        <f>D12*1.0664</f>
        <v>223.81953582526464</v>
      </c>
      <c r="F12" s="60">
        <f t="shared" si="2"/>
        <v>238.68115300406222</v>
      </c>
      <c r="G12" s="60">
        <f t="shared" si="8"/>
        <v>254.52958156353196</v>
      </c>
    </row>
    <row r="13" spans="1:7" ht="21.95" customHeight="1">
      <c r="A13" s="59">
        <v>9</v>
      </c>
      <c r="B13" s="53" t="s">
        <v>124</v>
      </c>
      <c r="C13" s="60">
        <v>156.86317440000002</v>
      </c>
      <c r="D13" s="60">
        <f t="shared" ref="D13:D16" si="9">C13*1.0664</f>
        <v>167.27888918016004</v>
      </c>
      <c r="E13" s="60">
        <f t="shared" ref="E13:E17" si="10">D13*1.0664</f>
        <v>178.38620742172267</v>
      </c>
      <c r="F13" s="60">
        <f t="shared" si="2"/>
        <v>190.23105159452507</v>
      </c>
      <c r="G13" s="60">
        <f t="shared" si="8"/>
        <v>202.86239342040153</v>
      </c>
    </row>
    <row r="14" spans="1:7" ht="21.95" customHeight="1">
      <c r="A14" s="59">
        <v>10</v>
      </c>
      <c r="B14" s="53" t="s">
        <v>125</v>
      </c>
      <c r="C14" s="60">
        <v>98.407392000000002</v>
      </c>
      <c r="D14" s="60">
        <f t="shared" si="9"/>
        <v>104.9416428288</v>
      </c>
      <c r="E14" s="60">
        <f t="shared" si="10"/>
        <v>111.90976791263232</v>
      </c>
      <c r="F14" s="60">
        <f t="shared" si="2"/>
        <v>119.34057650203111</v>
      </c>
      <c r="G14" s="60">
        <f t="shared" si="8"/>
        <v>127.26479078176598</v>
      </c>
    </row>
    <row r="15" spans="1:7" ht="21.95" customHeight="1">
      <c r="A15" s="59">
        <v>11</v>
      </c>
      <c r="B15" s="53" t="s">
        <v>126</v>
      </c>
      <c r="C15" s="60">
        <v>7.5784209785856005</v>
      </c>
      <c r="D15" s="60">
        <f t="shared" si="9"/>
        <v>8.0816281315636846</v>
      </c>
      <c r="E15" s="60">
        <f t="shared" si="10"/>
        <v>8.618248239499513</v>
      </c>
      <c r="F15" s="60">
        <f t="shared" si="2"/>
        <v>9.1904999226022817</v>
      </c>
      <c r="G15" s="60">
        <f t="shared" si="8"/>
        <v>9.8007491174630736</v>
      </c>
    </row>
    <row r="16" spans="1:7" ht="21.95" customHeight="1">
      <c r="A16" s="59">
        <v>12</v>
      </c>
      <c r="B16" s="53" t="s">
        <v>127</v>
      </c>
      <c r="C16" s="60">
        <v>117.602592</v>
      </c>
      <c r="D16" s="60">
        <f t="shared" si="9"/>
        <v>125.4114041088</v>
      </c>
      <c r="E16" s="60">
        <f t="shared" si="10"/>
        <v>133.73872134162431</v>
      </c>
      <c r="F16" s="60">
        <f t="shared" si="2"/>
        <v>142.61897243870817</v>
      </c>
      <c r="G16" s="60">
        <f t="shared" si="8"/>
        <v>152.08887220863841</v>
      </c>
    </row>
    <row r="17" spans="1:7" ht="21.95" customHeight="1">
      <c r="A17" s="59">
        <v>13</v>
      </c>
      <c r="B17" s="53" t="s">
        <v>130</v>
      </c>
      <c r="C17" s="60">
        <v>51.75</v>
      </c>
      <c r="D17" s="60">
        <f>800*0.1838*1.0664*1.0664</f>
        <v>167.21520547839998</v>
      </c>
      <c r="E17" s="60">
        <f t="shared" si="10"/>
        <v>178.31829512216575</v>
      </c>
      <c r="F17" s="60">
        <f>E17*1.0664</f>
        <v>190.15862991827757</v>
      </c>
      <c r="G17" s="60">
        <f t="shared" si="8"/>
        <v>202.78516294485121</v>
      </c>
    </row>
    <row r="18" spans="1:7" ht="21.95" customHeight="1">
      <c r="A18" s="59">
        <v>14</v>
      </c>
      <c r="B18" s="53" t="s">
        <v>137</v>
      </c>
      <c r="C18" s="60"/>
      <c r="D18" s="60"/>
      <c r="E18" s="60">
        <f>5338.95*1.5%*13%</f>
        <v>10.4109525</v>
      </c>
      <c r="F18" s="60">
        <f>5338.95*1.5%*67%</f>
        <v>53.656447499999999</v>
      </c>
      <c r="G18" s="60">
        <f>5338.95*1.5%*99%</f>
        <v>79.283407499999996</v>
      </c>
    </row>
    <row r="19" spans="1:7" ht="24.95" customHeight="1">
      <c r="A19" s="59"/>
      <c r="B19" s="61" t="s">
        <v>21</v>
      </c>
      <c r="C19" s="62">
        <f>SUM(C5:C17)</f>
        <v>1751.425498056904</v>
      </c>
      <c r="D19" s="62">
        <f t="shared" ref="D19" si="11">SUM(D5:D17)</f>
        <v>1979.7491566062827</v>
      </c>
      <c r="E19" s="62">
        <f>SUM(E5:E18)</f>
        <v>2121.6154531049397</v>
      </c>
      <c r="F19" s="62">
        <f>SUM(F5:F18)</f>
        <v>2305.0449269451083</v>
      </c>
      <c r="G19" s="62">
        <f>SUM(G5:G18)</f>
        <v>2480.1640819802633</v>
      </c>
    </row>
  </sheetData>
  <mergeCells count="4">
    <mergeCell ref="A3:A4"/>
    <mergeCell ref="B3:B4"/>
    <mergeCell ref="A2:G2"/>
    <mergeCell ref="A1:G1"/>
  </mergeCells>
  <phoneticPr fontId="2" type="noConversion"/>
  <pageMargins left="0.28000000000000003" right="0.17" top="0.75" bottom="0.69" header="0.5" footer="0.48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R18"/>
  <sheetViews>
    <sheetView workbookViewId="0">
      <pane xSplit="2" ySplit="3" topLeftCell="G4" activePane="bottomRight" state="frozen"/>
      <selection pane="topRight" activeCell="C1" sqref="C1"/>
      <selection pane="bottomLeft" activeCell="A3" sqref="A3"/>
      <selection pane="bottomRight" activeCell="J1" sqref="J1:R1048576"/>
    </sheetView>
  </sheetViews>
  <sheetFormatPr defaultRowHeight="15.75"/>
  <cols>
    <col min="1" max="1" width="8" style="28" customWidth="1"/>
    <col min="2" max="2" width="23.42578125" style="27" customWidth="1"/>
    <col min="3" max="3" width="13.42578125" style="28" customWidth="1"/>
    <col min="4" max="4" width="13.85546875" style="28" customWidth="1"/>
    <col min="5" max="5" width="13" style="28" customWidth="1"/>
    <col min="6" max="6" width="12.28515625" style="28" customWidth="1"/>
    <col min="7" max="7" width="13" style="28" customWidth="1"/>
    <col min="8" max="8" width="18.42578125" style="28" customWidth="1"/>
    <col min="9" max="9" width="7.42578125" style="28" customWidth="1"/>
    <col min="10" max="10" width="12.85546875" style="28" hidden="1" customWidth="1"/>
    <col min="11" max="11" width="10.5703125" style="28" hidden="1" customWidth="1"/>
    <col min="12" max="12" width="9.28515625" style="28" hidden="1" customWidth="1"/>
    <col min="13" max="13" width="17.140625" style="28" hidden="1" customWidth="1"/>
    <col min="14" max="14" width="10.85546875" style="28" hidden="1" customWidth="1"/>
    <col min="15" max="15" width="13.42578125" style="28" hidden="1" customWidth="1"/>
    <col min="16" max="17" width="9.28515625" style="28" hidden="1" customWidth="1"/>
    <col min="18" max="18" width="12" style="28" hidden="1" customWidth="1"/>
    <col min="19" max="16384" width="9.140625" style="27"/>
  </cols>
  <sheetData>
    <row r="1" spans="1:18" hidden="1">
      <c r="J1" s="63" t="s">
        <v>8</v>
      </c>
      <c r="K1" s="64">
        <f>'FC(2019-24)'!F2</f>
        <v>0.11799999999999999</v>
      </c>
      <c r="L1" s="63"/>
      <c r="M1" s="65"/>
      <c r="N1" s="65"/>
      <c r="O1" s="63" t="s">
        <v>111</v>
      </c>
      <c r="P1" s="64">
        <v>6.6400000000000001E-2</v>
      </c>
    </row>
    <row r="2" spans="1:18" ht="22.5" customHeight="1">
      <c r="A2" s="119" t="s">
        <v>112</v>
      </c>
      <c r="B2" s="119"/>
      <c r="C2" s="119"/>
      <c r="D2" s="119"/>
      <c r="E2" s="119"/>
      <c r="F2" s="119"/>
      <c r="G2" s="119"/>
      <c r="H2" s="119"/>
      <c r="I2" s="88"/>
      <c r="J2" s="27"/>
      <c r="K2" s="27"/>
      <c r="L2" s="27"/>
      <c r="M2" s="27"/>
      <c r="N2" s="27"/>
      <c r="O2" s="27"/>
      <c r="P2" s="27"/>
    </row>
    <row r="3" spans="1:18" ht="20.25" customHeight="1">
      <c r="A3" s="109" t="s">
        <v>45</v>
      </c>
      <c r="B3" s="109"/>
      <c r="C3" s="109"/>
      <c r="D3" s="109"/>
      <c r="E3" s="109"/>
      <c r="F3" s="109"/>
      <c r="G3" s="109"/>
      <c r="H3" s="109"/>
      <c r="I3" s="89"/>
      <c r="J3" s="67" t="s">
        <v>121</v>
      </c>
      <c r="L3" s="63"/>
      <c r="M3" s="63"/>
      <c r="N3" s="82">
        <f>'FC(2019-20)'!F18</f>
        <v>991.24226079999994</v>
      </c>
      <c r="O3" s="63" t="s">
        <v>122</v>
      </c>
    </row>
    <row r="4" spans="1:18" ht="14.25" customHeight="1">
      <c r="A4" s="89"/>
      <c r="B4" s="89"/>
      <c r="C4" s="89"/>
      <c r="D4" s="89"/>
      <c r="E4" s="89"/>
      <c r="F4" s="89"/>
      <c r="G4" s="89"/>
      <c r="H4" s="89" t="s">
        <v>1</v>
      </c>
      <c r="I4" s="89"/>
    </row>
    <row r="5" spans="1:18" s="65" customFormat="1" ht="60" customHeight="1">
      <c r="A5" s="57" t="s">
        <v>46</v>
      </c>
      <c r="B5" s="57" t="s">
        <v>2</v>
      </c>
      <c r="C5" s="57" t="s">
        <v>47</v>
      </c>
      <c r="D5" s="40" t="s">
        <v>48</v>
      </c>
      <c r="E5" s="40" t="s">
        <v>49</v>
      </c>
      <c r="F5" s="40" t="s">
        <v>50</v>
      </c>
      <c r="G5" s="40" t="s">
        <v>151</v>
      </c>
      <c r="H5" s="40" t="s">
        <v>52</v>
      </c>
      <c r="I5" s="69"/>
      <c r="J5" s="40" t="s">
        <v>54</v>
      </c>
      <c r="K5" s="40" t="s">
        <v>55</v>
      </c>
      <c r="L5" s="40" t="s">
        <v>53</v>
      </c>
      <c r="M5" s="57" t="s">
        <v>56</v>
      </c>
      <c r="N5" s="57" t="s">
        <v>39</v>
      </c>
      <c r="O5" s="57" t="s">
        <v>75</v>
      </c>
      <c r="P5" s="40" t="s">
        <v>119</v>
      </c>
      <c r="Q5" s="40" t="s">
        <v>118</v>
      </c>
      <c r="R5" s="40" t="s">
        <v>120</v>
      </c>
    </row>
    <row r="6" spans="1:18" ht="24.75" customHeight="1">
      <c r="A6" s="55">
        <v>1</v>
      </c>
      <c r="B6" s="70" t="s">
        <v>57</v>
      </c>
      <c r="C6" s="37">
        <v>725</v>
      </c>
      <c r="D6" s="71">
        <f t="shared" ref="D6:D12" si="0">R6/12</f>
        <v>0</v>
      </c>
      <c r="E6" s="71">
        <f t="shared" ref="E6:E12" si="1">N6/12</f>
        <v>14.054471405437146</v>
      </c>
      <c r="F6" s="71">
        <f>17.33*1.04</f>
        <v>18.023199999999999</v>
      </c>
      <c r="G6" s="71">
        <f t="shared" ref="G6:G12" ca="1" si="2">(P6+R6)/6</f>
        <v>74.348382243325105</v>
      </c>
      <c r="H6" s="71">
        <f t="shared" ref="H6:H12" ca="1" si="3">D6+E6+F6+G6</f>
        <v>106.42605364876225</v>
      </c>
      <c r="I6" s="72"/>
      <c r="J6" s="71">
        <f>'1(2019-20)'!G6*$K$1</f>
        <v>0.82682600000000728</v>
      </c>
      <c r="K6" s="71">
        <f>'1(2019-20)'!F6*$K$1</f>
        <v>24.730793999999999</v>
      </c>
      <c r="L6" s="71">
        <f t="shared" ref="L6:L12" ca="1" si="4">H6*$K$1</f>
        <v>12.558274330553944</v>
      </c>
      <c r="M6" s="71">
        <f>'Annexure ii (Dep)'!C5</f>
        <v>20.62</v>
      </c>
      <c r="N6" s="71">
        <f>' Annexure iii O&amp;M '!C5</f>
        <v>168.65365686524575</v>
      </c>
      <c r="O6" s="71">
        <f t="shared" ref="O6:O12" si="5">$N$3*C6/3286</f>
        <v>218.70074226415093</v>
      </c>
      <c r="P6" s="71">
        <f ca="1">J6+K6+L6+M6+N6+O6</f>
        <v>446.09029345995066</v>
      </c>
      <c r="Q6" s="71"/>
      <c r="R6" s="55"/>
    </row>
    <row r="7" spans="1:18" ht="24.75" customHeight="1">
      <c r="A7" s="55">
        <v>2</v>
      </c>
      <c r="B7" s="70" t="s">
        <v>68</v>
      </c>
      <c r="C7" s="37">
        <v>90</v>
      </c>
      <c r="D7" s="71">
        <f t="shared" si="0"/>
        <v>0</v>
      </c>
      <c r="E7" s="71">
        <f t="shared" si="1"/>
        <v>1.5311382800902589</v>
      </c>
      <c r="F7" s="71">
        <f>2.82*1.04</f>
        <v>2.9327999999999999</v>
      </c>
      <c r="G7" s="71">
        <f t="shared" ca="1" si="2"/>
        <v>9.0721760824498645</v>
      </c>
      <c r="H7" s="71">
        <f t="shared" ca="1" si="3"/>
        <v>13.536114362540124</v>
      </c>
      <c r="I7" s="72"/>
      <c r="J7" s="71">
        <f>'1(2019-20)'!G7*$K$1</f>
        <v>0</v>
      </c>
      <c r="K7" s="71">
        <f>'1(2019-20)'!F7*$K$1</f>
        <v>3.7311600000000005</v>
      </c>
      <c r="L7" s="71">
        <f t="shared" ca="1" si="4"/>
        <v>1.5972614947797346</v>
      </c>
      <c r="M7" s="71">
        <f>'Annexure ii (Dep)'!C6</f>
        <v>3.5819179784589887</v>
      </c>
      <c r="N7" s="71">
        <f>' Annexure iii O&amp;M '!C6</f>
        <v>18.373659361083106</v>
      </c>
      <c r="O7" s="71">
        <f t="shared" si="5"/>
        <v>27.149057660377359</v>
      </c>
      <c r="P7" s="71">
        <f t="shared" ref="P7:P12" ca="1" si="6">J7+K7+L7+M7+N7+O7</f>
        <v>54.433056494699187</v>
      </c>
      <c r="Q7" s="71"/>
      <c r="R7" s="55"/>
    </row>
    <row r="8" spans="1:18" ht="24.75" customHeight="1">
      <c r="A8" s="55">
        <v>3</v>
      </c>
      <c r="B8" s="70" t="s">
        <v>58</v>
      </c>
      <c r="C8" s="37">
        <v>770</v>
      </c>
      <c r="D8" s="71">
        <f t="shared" si="0"/>
        <v>0</v>
      </c>
      <c r="E8" s="71">
        <f t="shared" si="1"/>
        <v>11.592552194791322</v>
      </c>
      <c r="F8" s="71">
        <f>23.46*1.04</f>
        <v>24.398400000000002</v>
      </c>
      <c r="G8" s="71">
        <f t="shared" ca="1" si="2"/>
        <v>75.013820093645165</v>
      </c>
      <c r="H8" s="71">
        <f t="shared" ca="1" si="3"/>
        <v>111.0047722884365</v>
      </c>
      <c r="I8" s="72"/>
      <c r="J8" s="71">
        <f>'1(2019-20)'!G8*$K$1</f>
        <v>0</v>
      </c>
      <c r="K8" s="71">
        <f>'1(2019-20)'!F8*$K$1</f>
        <v>33.508459999999999</v>
      </c>
      <c r="L8" s="71">
        <f t="shared" ca="1" si="4"/>
        <v>13.098563130035506</v>
      </c>
      <c r="M8" s="71">
        <f>'Annexure ii (Dep)'!C7</f>
        <v>32.090000000000003</v>
      </c>
      <c r="N8" s="71">
        <f>' Annexure iii O&amp;M '!C7</f>
        <v>139.11062633749586</v>
      </c>
      <c r="O8" s="71">
        <f t="shared" si="5"/>
        <v>232.27527109433962</v>
      </c>
      <c r="P8" s="71">
        <f t="shared" ca="1" si="6"/>
        <v>450.08292056187099</v>
      </c>
      <c r="Q8" s="71"/>
      <c r="R8" s="55"/>
    </row>
    <row r="9" spans="1:18" ht="24.75" customHeight="1">
      <c r="A9" s="55">
        <v>4</v>
      </c>
      <c r="B9" s="70" t="s">
        <v>65</v>
      </c>
      <c r="C9" s="40">
        <v>20</v>
      </c>
      <c r="D9" s="71">
        <f t="shared" si="0"/>
        <v>0</v>
      </c>
      <c r="E9" s="71">
        <f t="shared" si="1"/>
        <v>0.65005049673148629</v>
      </c>
      <c r="F9" s="71">
        <f>1.06*1.04</f>
        <v>1.1024</v>
      </c>
      <c r="G9" s="71">
        <f t="shared" ca="1" si="2"/>
        <v>3.1547725904885731</v>
      </c>
      <c r="H9" s="71">
        <f t="shared" ca="1" si="3"/>
        <v>4.9072230872200588</v>
      </c>
      <c r="I9" s="72"/>
      <c r="J9" s="71">
        <f>'1(2019-20)'!G9*$K$1</f>
        <v>0.90104800000000029</v>
      </c>
      <c r="K9" s="71">
        <f>'1(2019-20)'!F9*$K$1</f>
        <v>2.0064719999999996</v>
      </c>
      <c r="L9" s="71">
        <f t="shared" ca="1" si="4"/>
        <v>0.57905232429196696</v>
      </c>
      <c r="M9" s="71">
        <f>'Annexure ii (Dep)'!C8</f>
        <v>1.6083333333333334</v>
      </c>
      <c r="N9" s="71">
        <f>' Annexure iii O&amp;M '!C8</f>
        <v>7.800605960777836</v>
      </c>
      <c r="O9" s="71">
        <f t="shared" si="5"/>
        <v>6.0331239245283008</v>
      </c>
      <c r="P9" s="71">
        <f t="shared" ca="1" si="6"/>
        <v>18.928635542931438</v>
      </c>
      <c r="Q9" s="71"/>
      <c r="R9" s="55"/>
    </row>
    <row r="10" spans="1:18" ht="24.75" customHeight="1">
      <c r="A10" s="55">
        <v>5</v>
      </c>
      <c r="B10" s="70" t="s">
        <v>66</v>
      </c>
      <c r="C10" s="40">
        <v>1</v>
      </c>
      <c r="D10" s="71">
        <f t="shared" si="0"/>
        <v>0</v>
      </c>
      <c r="E10" s="71">
        <f t="shared" si="1"/>
        <v>9.9887779476319646E-2</v>
      </c>
      <c r="F10" s="71">
        <f>0.06*1.04</f>
        <v>6.2399999999999997E-2</v>
      </c>
      <c r="G10" s="71">
        <f t="shared" ca="1" si="2"/>
        <v>0.311099520022597</v>
      </c>
      <c r="H10" s="71">
        <f t="shared" ca="1" si="3"/>
        <v>0.47338729949891667</v>
      </c>
      <c r="I10" s="72"/>
      <c r="J10" s="71">
        <f>'1(2019-20)'!G10*$K$1</f>
        <v>0.10442999999999997</v>
      </c>
      <c r="K10" s="71">
        <f>'1(2019-20)'!F10*$K$1</f>
        <v>0.12566999999999998</v>
      </c>
      <c r="L10" s="71">
        <f t="shared" ca="1" si="4"/>
        <v>5.5859701340872162E-2</v>
      </c>
      <c r="M10" s="71">
        <f>'Annexure ii (Dep)'!C9</f>
        <v>8.0327868852459017E-2</v>
      </c>
      <c r="N10" s="71">
        <f>' Annexure iii O&amp;M '!C9</f>
        <v>1.1986533537158357</v>
      </c>
      <c r="O10" s="71">
        <f t="shared" si="5"/>
        <v>0.3016561962264151</v>
      </c>
      <c r="P10" s="71">
        <f t="shared" ca="1" si="6"/>
        <v>1.866597120135582</v>
      </c>
      <c r="Q10" s="71"/>
      <c r="R10" s="55"/>
    </row>
    <row r="11" spans="1:18" ht="24.75" customHeight="1">
      <c r="A11" s="55">
        <v>6</v>
      </c>
      <c r="B11" s="70" t="s">
        <v>59</v>
      </c>
      <c r="C11" s="40">
        <v>1260</v>
      </c>
      <c r="D11" s="71">
        <f t="shared" si="0"/>
        <v>270.05328000000003</v>
      </c>
      <c r="E11" s="71">
        <f t="shared" si="1"/>
        <v>49.2047624</v>
      </c>
      <c r="F11" s="71">
        <f>55.48*1.04</f>
        <v>57.699199999999998</v>
      </c>
      <c r="G11" s="71">
        <f t="shared" ca="1" si="2"/>
        <v>739.31399064634752</v>
      </c>
      <c r="H11" s="71">
        <f t="shared" ca="1" si="3"/>
        <v>1116.2712330463476</v>
      </c>
      <c r="I11" s="72"/>
      <c r="J11" s="71">
        <f>'1(2019-20)'!G11*$K$1</f>
        <v>0</v>
      </c>
      <c r="K11" s="71">
        <f>'1(2019-20)'!F11*$K$1</f>
        <v>51.387289000000024</v>
      </c>
      <c r="L11" s="71">
        <f t="shared" ca="1" si="4"/>
        <v>131.72000549946901</v>
      </c>
      <c r="M11" s="71">
        <f>'Annexure ii (Dep)'!C10</f>
        <v>41.593333333333334</v>
      </c>
      <c r="N11" s="71">
        <f>' Annexure iii O&amp;M '!C10</f>
        <v>590.45714880000003</v>
      </c>
      <c r="O11" s="71">
        <f t="shared" si="5"/>
        <v>380.08680724528296</v>
      </c>
      <c r="P11" s="71">
        <f t="shared" ca="1" si="6"/>
        <v>1195.2445838780855</v>
      </c>
      <c r="Q11" s="71">
        <v>3.67</v>
      </c>
      <c r="R11" s="71">
        <f>(C11*24*365*0.8/1000)*Q11/10</f>
        <v>3240.6393600000001</v>
      </c>
    </row>
    <row r="12" spans="1:18" ht="24.75" customHeight="1">
      <c r="A12" s="55">
        <v>7</v>
      </c>
      <c r="B12" s="70" t="s">
        <v>20</v>
      </c>
      <c r="C12" s="40">
        <v>420</v>
      </c>
      <c r="D12" s="71">
        <f t="shared" si="0"/>
        <v>94.923360000000002</v>
      </c>
      <c r="E12" s="71">
        <f t="shared" si="1"/>
        <v>16.401232</v>
      </c>
      <c r="F12" s="71">
        <f>48.57*1.04</f>
        <v>50.512799999999999</v>
      </c>
      <c r="G12" s="71">
        <f t="shared" ca="1" si="2"/>
        <v>260.12102323548015</v>
      </c>
      <c r="H12" s="71">
        <f t="shared" ca="1" si="3"/>
        <v>421.95841523548017</v>
      </c>
      <c r="I12" s="72"/>
      <c r="J12" s="71">
        <f>'1(2019-20)'!G12*$K$1</f>
        <v>0</v>
      </c>
      <c r="K12" s="71">
        <f>'1(2019-20)'!F12*$K$1</f>
        <v>33.114339999999984</v>
      </c>
      <c r="L12" s="71">
        <f t="shared" ca="1" si="4"/>
        <v>49.791092997786656</v>
      </c>
      <c r="M12" s="71">
        <f>'Annexure ii (Dep)'!C11</f>
        <v>15.23</v>
      </c>
      <c r="N12" s="71">
        <f>' Annexure iii O&amp;M '!C11</f>
        <v>196.814784</v>
      </c>
      <c r="O12" s="71">
        <f t="shared" si="5"/>
        <v>126.69560241509433</v>
      </c>
      <c r="P12" s="71">
        <f t="shared" ca="1" si="6"/>
        <v>421.645819412881</v>
      </c>
      <c r="Q12" s="71">
        <v>3.87</v>
      </c>
      <c r="R12" s="71">
        <f>(C12*24*365*0.8/1000)*Q12/10</f>
        <v>1139.08032</v>
      </c>
    </row>
    <row r="13" spans="1:18" ht="24.75" customHeight="1">
      <c r="A13" s="55">
        <v>8</v>
      </c>
      <c r="B13" s="70" t="s">
        <v>123</v>
      </c>
      <c r="C13" s="40">
        <v>420</v>
      </c>
      <c r="D13" s="71">
        <f t="shared" ref="D13:D18" si="7">R13/12</f>
        <v>94.923360000000002</v>
      </c>
      <c r="E13" s="71">
        <f t="shared" ref="E13:E18" si="8">N13/12</f>
        <v>16.401232</v>
      </c>
      <c r="F13" s="71">
        <f>25.55*1.04</f>
        <v>26.572000000000003</v>
      </c>
      <c r="G13" s="71">
        <f t="shared" ref="G13:G18" ca="1" si="9">(P13+R13)/6</f>
        <v>237.18616342818282</v>
      </c>
      <c r="H13" s="71">
        <f t="shared" ref="H13:H18" ca="1" si="10">D13+E13+F13+G13</f>
        <v>375.08275542818285</v>
      </c>
      <c r="I13" s="72"/>
      <c r="J13" s="71">
        <f>'1(2019-20)'!G13*$K$1</f>
        <v>0</v>
      </c>
      <c r="K13" s="71">
        <f>'1(2019-20)'!F13*$K$1</f>
        <v>35.108539999999998</v>
      </c>
      <c r="L13" s="71">
        <f t="shared" ref="L13:L18" ca="1" si="11">H13*$K$1</f>
        <v>44.259765140525573</v>
      </c>
      <c r="M13" s="71">
        <f>'Annexure ii (Dep)'!C12</f>
        <v>7.8535714285714286</v>
      </c>
      <c r="N13" s="71">
        <f>' Annexure iii O&amp;M '!C12</f>
        <v>196.814784</v>
      </c>
      <c r="O13" s="71"/>
      <c r="P13" s="71">
        <f t="shared" ref="P13:P18" ca="1" si="12">J13+K13+L13+M13+N13+O13</f>
        <v>284.03666056909697</v>
      </c>
      <c r="Q13" s="71">
        <v>3.87</v>
      </c>
      <c r="R13" s="71">
        <f t="shared" ref="R13:R18" si="13">(C13*24*365*0.8/1000)*Q13/10</f>
        <v>1139.08032</v>
      </c>
    </row>
    <row r="14" spans="1:18" ht="24.75" customHeight="1">
      <c r="A14" s="55">
        <v>9</v>
      </c>
      <c r="B14" s="70" t="s">
        <v>124</v>
      </c>
      <c r="C14" s="40">
        <v>500</v>
      </c>
      <c r="D14" s="71">
        <f t="shared" si="7"/>
        <v>91.98</v>
      </c>
      <c r="E14" s="71">
        <f t="shared" si="8"/>
        <v>13.071931200000002</v>
      </c>
      <c r="F14" s="71">
        <f>30.61*1.04</f>
        <v>31.834400000000002</v>
      </c>
      <c r="G14" s="71">
        <f t="shared" ca="1" si="9"/>
        <v>258.44332225120706</v>
      </c>
      <c r="H14" s="71">
        <f t="shared" ca="1" si="10"/>
        <v>395.32965345120709</v>
      </c>
      <c r="I14" s="72"/>
      <c r="J14" s="71">
        <f>'1(2019-20)'!G14*$K$1</f>
        <v>10.02244799999999</v>
      </c>
      <c r="K14" s="71">
        <f>'1(2019-20)'!F14*$K$1</f>
        <v>76.385411999999988</v>
      </c>
      <c r="L14" s="71">
        <f t="shared" ca="1" si="11"/>
        <v>46.648899107242435</v>
      </c>
      <c r="M14" s="71">
        <f>'Annexure ii (Dep)'!C13</f>
        <v>156.97999999999999</v>
      </c>
      <c r="N14" s="71">
        <f>' Annexure iii O&amp;M '!C13</f>
        <v>156.86317440000002</v>
      </c>
      <c r="O14" s="71"/>
      <c r="P14" s="71">
        <f t="shared" ca="1" si="12"/>
        <v>446.89993350724239</v>
      </c>
      <c r="Q14" s="71">
        <v>3.15</v>
      </c>
      <c r="R14" s="71">
        <f t="shared" si="13"/>
        <v>1103.76</v>
      </c>
    </row>
    <row r="15" spans="1:18" ht="24.75" customHeight="1">
      <c r="A15" s="55">
        <v>10</v>
      </c>
      <c r="B15" s="70" t="s">
        <v>125</v>
      </c>
      <c r="C15" s="40">
        <v>210</v>
      </c>
      <c r="D15" s="71">
        <f t="shared" si="7"/>
        <v>47.461680000000001</v>
      </c>
      <c r="E15" s="71">
        <f t="shared" si="8"/>
        <v>8.2006160000000001</v>
      </c>
      <c r="F15" s="71">
        <f>15.96*1.04</f>
        <v>16.598400000000002</v>
      </c>
      <c r="G15" s="71">
        <f t="shared" ca="1" si="9"/>
        <v>140.17198812104729</v>
      </c>
      <c r="H15" s="71">
        <f t="shared" ca="1" si="10"/>
        <v>212.43268412104729</v>
      </c>
      <c r="I15" s="72"/>
      <c r="J15" s="71">
        <f>'1(2019-20)'!G15*$K$1</f>
        <v>14.749764000000019</v>
      </c>
      <c r="K15" s="71">
        <f>'1(2019-20)'!F15*$K$1</f>
        <v>43.157556</v>
      </c>
      <c r="L15" s="71">
        <f t="shared" ca="1" si="11"/>
        <v>25.067056726283578</v>
      </c>
      <c r="M15" s="71">
        <f>'Annexure ii (Dep)'!C14</f>
        <v>90.11</v>
      </c>
      <c r="N15" s="71">
        <f>' Annexure iii O&amp;M '!C14</f>
        <v>98.407392000000002</v>
      </c>
      <c r="O15" s="71"/>
      <c r="P15" s="71">
        <f t="shared" ca="1" si="12"/>
        <v>271.49176872628362</v>
      </c>
      <c r="Q15" s="71">
        <v>3.87</v>
      </c>
      <c r="R15" s="71">
        <f t="shared" si="13"/>
        <v>569.54016000000001</v>
      </c>
    </row>
    <row r="16" spans="1:18" ht="24.75" customHeight="1">
      <c r="A16" s="55">
        <v>11</v>
      </c>
      <c r="B16" s="70" t="s">
        <v>126</v>
      </c>
      <c r="C16" s="40">
        <v>50</v>
      </c>
      <c r="D16" s="71">
        <f t="shared" si="7"/>
        <v>0</v>
      </c>
      <c r="E16" s="71">
        <f t="shared" si="8"/>
        <v>0.6315350815488</v>
      </c>
      <c r="F16" s="71">
        <f>2.85*1.04</f>
        <v>2.9640000000000004</v>
      </c>
      <c r="G16" s="71">
        <f t="shared" ca="1" si="9"/>
        <v>8.2729831525912427</v>
      </c>
      <c r="H16" s="71">
        <f t="shared" ca="1" si="10"/>
        <v>11.868518234140044</v>
      </c>
      <c r="I16" s="72"/>
      <c r="J16" s="71">
        <f>'1(2019-20)'!G16*$K$1</f>
        <v>21.559124785333335</v>
      </c>
      <c r="K16" s="71">
        <f>'1(2019-20)'!F16*$K$1</f>
        <v>9.7498679999999993</v>
      </c>
      <c r="L16" s="71">
        <f t="shared" ca="1" si="11"/>
        <v>1.400485151628525</v>
      </c>
      <c r="M16" s="71">
        <f>'Annexure ii (Dep)'!C15</f>
        <v>9.35</v>
      </c>
      <c r="N16" s="71">
        <f>' Annexure iii O&amp;M '!C15</f>
        <v>7.5784209785856005</v>
      </c>
      <c r="O16" s="71"/>
      <c r="P16" s="71">
        <f t="shared" ca="1" si="12"/>
        <v>49.63789891554746</v>
      </c>
      <c r="Q16" s="71"/>
      <c r="R16" s="71">
        <f t="shared" si="13"/>
        <v>0</v>
      </c>
    </row>
    <row r="17" spans="1:18" ht="24.75" customHeight="1">
      <c r="A17" s="55">
        <v>12</v>
      </c>
      <c r="B17" s="70" t="s">
        <v>127</v>
      </c>
      <c r="C17" s="40">
        <v>600</v>
      </c>
      <c r="D17" s="71">
        <f t="shared" si="7"/>
        <v>127.54560000000002</v>
      </c>
      <c r="E17" s="71">
        <f t="shared" si="8"/>
        <v>9.8002160000000007</v>
      </c>
      <c r="F17" s="71">
        <v>48.53</v>
      </c>
      <c r="G17" s="71">
        <f t="shared" ca="1" si="9"/>
        <v>444.83037033117989</v>
      </c>
      <c r="H17" s="71">
        <f t="shared" ca="1" si="10"/>
        <v>630.70618633117988</v>
      </c>
      <c r="I17" s="72"/>
      <c r="J17" s="71">
        <f>'1(2019-20)'!G17*$K$1</f>
        <v>400.88918799999999</v>
      </c>
      <c r="K17" s="71">
        <f>'1(2019-20)'!F17*$K$1</f>
        <v>171.80965199999997</v>
      </c>
      <c r="L17" s="71">
        <f t="shared" ca="1" si="11"/>
        <v>74.423329987079228</v>
      </c>
      <c r="M17" s="71">
        <f>'Annexure ii (Dep)'!C16</f>
        <v>373.71026000000001</v>
      </c>
      <c r="N17" s="71">
        <f>' Annexure iii O&amp;M '!C16</f>
        <v>117.602592</v>
      </c>
      <c r="O17" s="71"/>
      <c r="P17" s="71">
        <f t="shared" ca="1" si="12"/>
        <v>1138.4350219870792</v>
      </c>
      <c r="Q17" s="71">
        <v>3.64</v>
      </c>
      <c r="R17" s="71">
        <f t="shared" si="13"/>
        <v>1530.5472000000002</v>
      </c>
    </row>
    <row r="18" spans="1:18" ht="24.75" customHeight="1">
      <c r="A18" s="55">
        <v>13</v>
      </c>
      <c r="B18" s="70" t="s">
        <v>130</v>
      </c>
      <c r="C18" s="40">
        <v>800</v>
      </c>
      <c r="D18" s="71">
        <f t="shared" si="7"/>
        <v>136.42239999999998</v>
      </c>
      <c r="E18" s="71">
        <f t="shared" si="8"/>
        <v>13.066954666666666</v>
      </c>
      <c r="F18" s="71">
        <v>61.44</v>
      </c>
      <c r="G18" s="71">
        <f t="shared" ca="1" si="9"/>
        <v>512.88992176991951</v>
      </c>
      <c r="H18" s="71">
        <f t="shared" ca="1" si="10"/>
        <v>723.81927643658616</v>
      </c>
      <c r="I18" s="72"/>
      <c r="J18" s="71">
        <f>'1(2019-20)'!G18*$K$1</f>
        <v>507.484488</v>
      </c>
      <c r="K18" s="71">
        <f>'1(2019-20)'!F18*$K$1</f>
        <v>217.49335199999999</v>
      </c>
      <c r="L18" s="71">
        <f t="shared" ca="1" si="11"/>
        <v>85.410674619517167</v>
      </c>
      <c r="M18" s="71">
        <f>6143.88*7.7%</f>
        <v>473.07875999999999</v>
      </c>
      <c r="N18" s="71">
        <f>800*0.1838*1.0664</f>
        <v>156.80345599999998</v>
      </c>
      <c r="O18" s="71"/>
      <c r="P18" s="71">
        <f t="shared" ca="1" si="12"/>
        <v>1440.2707306195171</v>
      </c>
      <c r="Q18" s="71">
        <v>2.92</v>
      </c>
      <c r="R18" s="71">
        <f t="shared" si="13"/>
        <v>1637.0687999999998</v>
      </c>
    </row>
  </sheetData>
  <mergeCells count="2">
    <mergeCell ref="A2:H2"/>
    <mergeCell ref="A3:H3"/>
  </mergeCells>
  <phoneticPr fontId="2" type="noConversion"/>
  <printOptions horizontalCentered="1"/>
  <pageMargins left="0.27559055118110237" right="0.27559055118110237" top="0.39370078740157483" bottom="0.27559055118110237" header="0.27559055118110237" footer="0.1968503937007874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R21"/>
  <sheetViews>
    <sheetView zoomScale="95" zoomScaleNormal="95" workbookViewId="0">
      <selection activeCell="X6" sqref="X6"/>
    </sheetView>
  </sheetViews>
  <sheetFormatPr defaultRowHeight="15.75"/>
  <cols>
    <col min="1" max="1" width="6.7109375" style="28" bestFit="1" customWidth="1"/>
    <col min="2" max="2" width="24.140625" style="27" customWidth="1"/>
    <col min="3" max="3" width="11.42578125" style="28" customWidth="1"/>
    <col min="4" max="4" width="16.85546875" style="28" customWidth="1"/>
    <col min="5" max="5" width="13.140625" style="28" customWidth="1"/>
    <col min="6" max="6" width="12.28515625" style="28" customWidth="1"/>
    <col min="7" max="7" width="13" style="28" customWidth="1"/>
    <col min="8" max="8" width="16.5703125" style="28" customWidth="1"/>
    <col min="9" max="9" width="8" style="28" customWidth="1"/>
    <col min="10" max="10" width="12.5703125" style="27" hidden="1" customWidth="1"/>
    <col min="11" max="11" width="11.140625" style="27" hidden="1" customWidth="1"/>
    <col min="12" max="12" width="9.28515625" style="27" hidden="1" customWidth="1"/>
    <col min="13" max="14" width="9.42578125" style="27" hidden="1" customWidth="1"/>
    <col min="15" max="15" width="10.85546875" style="27" hidden="1" customWidth="1"/>
    <col min="16" max="16" width="11.28515625" style="27" hidden="1" customWidth="1"/>
    <col min="17" max="17" width="9.28515625" style="27" hidden="1" customWidth="1"/>
    <col min="18" max="18" width="11.42578125" style="27" hidden="1" customWidth="1"/>
    <col min="19" max="16384" width="9.140625" style="27"/>
  </cols>
  <sheetData>
    <row r="1" spans="1:18" ht="15" customHeight="1">
      <c r="J1" s="63" t="s">
        <v>8</v>
      </c>
      <c r="K1" s="64">
        <f>'FC(2019-24)'!F2</f>
        <v>0.11799999999999999</v>
      </c>
      <c r="L1" s="63"/>
      <c r="M1" s="63"/>
      <c r="N1" s="63"/>
      <c r="O1" s="63" t="s">
        <v>111</v>
      </c>
      <c r="P1" s="64">
        <f>'IV(IWC2019-20)'!P1</f>
        <v>6.6400000000000001E-2</v>
      </c>
    </row>
    <row r="2" spans="1:18" ht="24" customHeight="1">
      <c r="A2" s="120" t="s">
        <v>113</v>
      </c>
      <c r="B2" s="120"/>
      <c r="C2" s="120"/>
      <c r="D2" s="120"/>
      <c r="E2" s="120"/>
      <c r="F2" s="120"/>
      <c r="G2" s="120"/>
      <c r="H2" s="120"/>
      <c r="I2" s="66"/>
    </row>
    <row r="3" spans="1:18" ht="20.25" customHeight="1">
      <c r="A3" s="121" t="s">
        <v>45</v>
      </c>
      <c r="B3" s="121"/>
      <c r="C3" s="121"/>
      <c r="D3" s="121"/>
      <c r="E3" s="121"/>
      <c r="F3" s="121"/>
      <c r="G3" s="121"/>
      <c r="H3" s="121"/>
      <c r="I3" s="26"/>
      <c r="J3" s="63"/>
      <c r="K3" s="63"/>
      <c r="L3" s="63"/>
      <c r="M3" s="63"/>
      <c r="N3" s="63"/>
      <c r="O3" s="63"/>
      <c r="P3" s="63"/>
    </row>
    <row r="4" spans="1:18" ht="17.25" customHeight="1">
      <c r="A4" s="68"/>
      <c r="B4" s="68"/>
      <c r="C4" s="68"/>
      <c r="D4" s="68"/>
      <c r="E4" s="68"/>
      <c r="F4" s="68"/>
      <c r="G4" s="68"/>
      <c r="H4" s="68" t="s">
        <v>1</v>
      </c>
      <c r="I4" s="68"/>
      <c r="P4" s="73"/>
    </row>
    <row r="5" spans="1:18" s="65" customFormat="1" ht="60" customHeight="1">
      <c r="A5" s="57" t="s">
        <v>46</v>
      </c>
      <c r="B5" s="40" t="s">
        <v>2</v>
      </c>
      <c r="C5" s="57" t="s">
        <v>47</v>
      </c>
      <c r="D5" s="40" t="s">
        <v>48</v>
      </c>
      <c r="E5" s="40" t="s">
        <v>49</v>
      </c>
      <c r="F5" s="40" t="s">
        <v>50</v>
      </c>
      <c r="G5" s="40" t="s">
        <v>51</v>
      </c>
      <c r="H5" s="40" t="s">
        <v>52</v>
      </c>
      <c r="I5" s="69"/>
      <c r="J5" s="40" t="s">
        <v>54</v>
      </c>
      <c r="K5" s="40" t="s">
        <v>55</v>
      </c>
      <c r="L5" s="40" t="s">
        <v>53</v>
      </c>
      <c r="M5" s="57" t="s">
        <v>56</v>
      </c>
      <c r="N5" s="57" t="s">
        <v>39</v>
      </c>
      <c r="O5" s="57" t="s">
        <v>75</v>
      </c>
      <c r="P5" s="40" t="s">
        <v>119</v>
      </c>
      <c r="Q5" s="40" t="s">
        <v>118</v>
      </c>
      <c r="R5" s="40" t="s">
        <v>120</v>
      </c>
    </row>
    <row r="6" spans="1:18" ht="23.25" customHeight="1">
      <c r="A6" s="55">
        <v>1</v>
      </c>
      <c r="B6" s="70" t="s">
        <v>57</v>
      </c>
      <c r="C6" s="37">
        <v>725</v>
      </c>
      <c r="D6" s="71">
        <f t="shared" ref="D6:D12" si="0">R6/12</f>
        <v>0</v>
      </c>
      <c r="E6" s="71">
        <f t="shared" ref="E6:E12" si="1">N6/12</f>
        <v>14.987688306758173</v>
      </c>
      <c r="F6" s="71">
        <f>'IV(IWC2019-20)'!F6*1.04</f>
        <v>18.744128</v>
      </c>
      <c r="G6" s="71">
        <f t="shared" ref="G6:G12" ca="1" si="2">(P6+R6)/6</f>
        <v>78.340623181874548</v>
      </c>
      <c r="H6" s="71">
        <f t="shared" ref="H6:H12" ca="1" si="3">D6+E6+F6+G6</f>
        <v>112.07243948863272</v>
      </c>
      <c r="I6" s="72"/>
      <c r="J6" s="56">
        <f>'1(2020-21)'!G6*$K$1</f>
        <v>0</v>
      </c>
      <c r="K6" s="56">
        <f>'1(2020-21)'!F6*$K$1</f>
        <v>23.124460000000003</v>
      </c>
      <c r="L6" s="56">
        <f t="shared" ref="L6:L12" ca="1" si="4">H6*$K$1</f>
        <v>13.22454785965866</v>
      </c>
      <c r="M6" s="56">
        <f>'Annexure ii (Dep)'!D5</f>
        <v>20.62</v>
      </c>
      <c r="N6" s="56">
        <f>' Annexure iii O&amp;M '!D5</f>
        <v>179.85225968109808</v>
      </c>
      <c r="O6" s="56">
        <f>'IV(IWC2019-20)'!O6*(1+$P$1)</f>
        <v>233.22247155049055</v>
      </c>
      <c r="P6" s="56">
        <f ca="1">J6+K6+L6+M6+N6+O6</f>
        <v>470.04373909124729</v>
      </c>
      <c r="Q6" s="56"/>
      <c r="R6" s="74"/>
    </row>
    <row r="7" spans="1:18" ht="23.25" customHeight="1">
      <c r="A7" s="55">
        <v>2</v>
      </c>
      <c r="B7" s="70" t="s">
        <v>68</v>
      </c>
      <c r="C7" s="37">
        <v>90</v>
      </c>
      <c r="D7" s="71">
        <f t="shared" si="0"/>
        <v>0</v>
      </c>
      <c r="E7" s="71">
        <f t="shared" si="1"/>
        <v>1.6328058618882519</v>
      </c>
      <c r="F7" s="71">
        <f>'IV(IWC2019-20)'!F7*1.04</f>
        <v>3.0501119999999999</v>
      </c>
      <c r="G7" s="71">
        <f t="shared" ca="1" si="2"/>
        <v>9.5186027535513578</v>
      </c>
      <c r="H7" s="71">
        <f t="shared" ca="1" si="3"/>
        <v>14.201520615439609</v>
      </c>
      <c r="I7" s="72"/>
      <c r="J7" s="56">
        <f>'1(2020-21)'!G7*$K$1</f>
        <v>0</v>
      </c>
      <c r="K7" s="56">
        <f>'1(2020-21)'!F7*$K$1</f>
        <v>3.3084936785418395</v>
      </c>
      <c r="L7" s="56">
        <f t="shared" ca="1" si="4"/>
        <v>1.6757794326218738</v>
      </c>
      <c r="M7" s="56">
        <f>'Annexure ii (Dep)'!D6</f>
        <v>3.5819179784589887</v>
      </c>
      <c r="N7" s="56">
        <f>' Annexure iii O&amp;M '!D6</f>
        <v>19.593670342659024</v>
      </c>
      <c r="O7" s="56">
        <f>'IV(IWC2019-20)'!O7*(1+$P$1)</f>
        <v>28.951755089026417</v>
      </c>
      <c r="P7" s="56">
        <f t="shared" ref="P7:P18" ca="1" si="5">J7+K7+L7+M7+N7+O7</f>
        <v>57.111616521308143</v>
      </c>
      <c r="Q7" s="56"/>
      <c r="R7" s="74"/>
    </row>
    <row r="8" spans="1:18" ht="23.25" customHeight="1">
      <c r="A8" s="55">
        <v>3</v>
      </c>
      <c r="B8" s="70" t="s">
        <v>58</v>
      </c>
      <c r="C8" s="37">
        <v>770</v>
      </c>
      <c r="D8" s="71">
        <f t="shared" si="0"/>
        <v>0</v>
      </c>
      <c r="E8" s="71">
        <f t="shared" si="1"/>
        <v>12.362297660525465</v>
      </c>
      <c r="F8" s="71">
        <f>'IV(IWC2019-20)'!F8*1.04</f>
        <v>25.374336000000003</v>
      </c>
      <c r="G8" s="71">
        <f t="shared" ca="1" si="2"/>
        <v>78.597532096778536</v>
      </c>
      <c r="H8" s="71">
        <f t="shared" ca="1" si="3"/>
        <v>116.33416575730401</v>
      </c>
      <c r="I8" s="72"/>
      <c r="J8" s="56">
        <f>'1(2020-21)'!G8*$K$1</f>
        <v>0</v>
      </c>
      <c r="K8" s="56">
        <f>'1(2020-21)'!F8*$K$1</f>
        <v>29.721839999999997</v>
      </c>
      <c r="L8" s="56">
        <f t="shared" ca="1" si="4"/>
        <v>13.727431559361872</v>
      </c>
      <c r="M8" s="56">
        <f>'Annexure ii (Dep)'!D7</f>
        <v>32.090000000000003</v>
      </c>
      <c r="N8" s="56">
        <f>' Annexure iii O&amp;M '!D7</f>
        <v>148.34757192630559</v>
      </c>
      <c r="O8" s="56">
        <f>'IV(IWC2019-20)'!O8*(1+$P$1)</f>
        <v>247.69834909500378</v>
      </c>
      <c r="P8" s="56">
        <f t="shared" ca="1" si="5"/>
        <v>471.58519258067122</v>
      </c>
      <c r="Q8" s="56"/>
      <c r="R8" s="74"/>
    </row>
    <row r="9" spans="1:18" ht="23.25" customHeight="1">
      <c r="A9" s="55">
        <v>4</v>
      </c>
      <c r="B9" s="70" t="s">
        <v>65</v>
      </c>
      <c r="C9" s="40">
        <v>20</v>
      </c>
      <c r="D9" s="71">
        <f t="shared" si="0"/>
        <v>0</v>
      </c>
      <c r="E9" s="71">
        <f t="shared" si="1"/>
        <v>0.6932138497144571</v>
      </c>
      <c r="F9" s="71">
        <f>'IV(IWC2019-20)'!F9*1.04</f>
        <v>1.1464960000000002</v>
      </c>
      <c r="G9" s="71">
        <f t="shared" ca="1" si="2"/>
        <v>3.2804225283843542</v>
      </c>
      <c r="H9" s="71">
        <f t="shared" ca="1" si="3"/>
        <v>5.1201323780988117</v>
      </c>
      <c r="I9" s="72"/>
      <c r="J9" s="56">
        <f>'1(2020-21)'!G9*$K$1</f>
        <v>0.71126466666666688</v>
      </c>
      <c r="K9" s="56">
        <f>'1(2020-21)'!F9*$K$1</f>
        <v>2.0064719999999996</v>
      </c>
      <c r="L9" s="56">
        <f t="shared" ca="1" si="4"/>
        <v>0.60417562061565977</v>
      </c>
      <c r="M9" s="56">
        <f>'Annexure ii (Dep)'!D8</f>
        <v>1.6083333333333334</v>
      </c>
      <c r="N9" s="56">
        <f>' Annexure iii O&amp;M '!D8</f>
        <v>8.3185661965734852</v>
      </c>
      <c r="O9" s="56">
        <f>'IV(IWC2019-20)'!O9*(1+$P$1)</f>
        <v>6.4337233531169797</v>
      </c>
      <c r="P9" s="56">
        <f t="shared" ca="1" si="5"/>
        <v>19.682535170306124</v>
      </c>
      <c r="Q9" s="56"/>
      <c r="R9" s="74"/>
    </row>
    <row r="10" spans="1:18" ht="23.25" customHeight="1">
      <c r="A10" s="55">
        <v>5</v>
      </c>
      <c r="B10" s="70" t="s">
        <v>66</v>
      </c>
      <c r="C10" s="40">
        <v>1</v>
      </c>
      <c r="D10" s="71">
        <f t="shared" si="0"/>
        <v>0</v>
      </c>
      <c r="E10" s="71">
        <f t="shared" si="1"/>
        <v>0.10652032803354727</v>
      </c>
      <c r="F10" s="71">
        <f>'IV(IWC2019-20)'!F10*1.04</f>
        <v>6.4895999999999995E-2</v>
      </c>
      <c r="G10" s="71">
        <f t="shared" ca="1" si="2"/>
        <v>0.32660768634720228</v>
      </c>
      <c r="H10" s="71">
        <f t="shared" ca="1" si="3"/>
        <v>0.49802401438074956</v>
      </c>
      <c r="I10" s="72"/>
      <c r="J10" s="56">
        <f>'1(2020-21)'!G10*$K$1</f>
        <v>9.4951311475409819E-2</v>
      </c>
      <c r="K10" s="56">
        <f>'1(2020-21)'!F10*$K$1</f>
        <v>0.12566999999999998</v>
      </c>
      <c r="L10" s="56">
        <f t="shared" ca="1" si="4"/>
        <v>5.8766833696928443E-2</v>
      </c>
      <c r="M10" s="56">
        <f>'Annexure ii (Dep)'!D9</f>
        <v>8.0327868852459017E-2</v>
      </c>
      <c r="N10" s="56">
        <f>' Annexure iii O&amp;M '!D9</f>
        <v>1.2782439364025673</v>
      </c>
      <c r="O10" s="56">
        <f>'IV(IWC2019-20)'!O10*(1+$P$1)</f>
        <v>0.32168616765584906</v>
      </c>
      <c r="P10" s="56">
        <f t="shared" ca="1" si="5"/>
        <v>1.9596461180832137</v>
      </c>
      <c r="Q10" s="56"/>
      <c r="R10" s="74"/>
    </row>
    <row r="11" spans="1:18" ht="23.25" customHeight="1">
      <c r="A11" s="55">
        <v>6</v>
      </c>
      <c r="B11" s="70" t="s">
        <v>59</v>
      </c>
      <c r="C11" s="40">
        <v>1260</v>
      </c>
      <c r="D11" s="71">
        <f t="shared" si="0"/>
        <v>270.05328000000003</v>
      </c>
      <c r="E11" s="71">
        <f t="shared" si="1"/>
        <v>52.471958623360003</v>
      </c>
      <c r="F11" s="71">
        <f>'IV(IWC2019-20)'!F11*1.04</f>
        <v>60.007168</v>
      </c>
      <c r="G11" s="71">
        <f t="shared" ca="1" si="2"/>
        <v>749.54701366455504</v>
      </c>
      <c r="H11" s="71">
        <f t="shared" ca="1" si="3"/>
        <v>1132.0794202879151</v>
      </c>
      <c r="I11" s="72"/>
      <c r="J11" s="56">
        <f>'1(2020-21)'!G11*$K$1</f>
        <v>0</v>
      </c>
      <c r="K11" s="56">
        <f>'1(2020-21)'!F11*$K$1</f>
        <v>46.479275666666702</v>
      </c>
      <c r="L11" s="56">
        <f t="shared" ca="1" si="4"/>
        <v>133.58537159397397</v>
      </c>
      <c r="M11" s="56">
        <f>'Annexure ii (Dep)'!D10</f>
        <v>41.59</v>
      </c>
      <c r="N11" s="56">
        <f>' Annexure iii O&amp;M '!D10</f>
        <v>629.66350348032006</v>
      </c>
      <c r="O11" s="56">
        <f>'IV(IWC2019-20)'!O11*(1+$P$1)</f>
        <v>405.32457124636977</v>
      </c>
      <c r="P11" s="56">
        <f t="shared" ca="1" si="5"/>
        <v>1256.6427219873306</v>
      </c>
      <c r="Q11" s="71">
        <v>3.67</v>
      </c>
      <c r="R11" s="56">
        <f>(C11*24*365*0.8/1000)*Q11/10</f>
        <v>3240.6393600000001</v>
      </c>
    </row>
    <row r="12" spans="1:18" ht="23.25" customHeight="1">
      <c r="A12" s="55">
        <v>7</v>
      </c>
      <c r="B12" s="70" t="s">
        <v>20</v>
      </c>
      <c r="C12" s="40">
        <v>420</v>
      </c>
      <c r="D12" s="71">
        <f t="shared" si="0"/>
        <v>94.923360000000002</v>
      </c>
      <c r="E12" s="71">
        <f t="shared" si="1"/>
        <v>17.490273804800001</v>
      </c>
      <c r="F12" s="71">
        <f>'IV(IWC2019-20)'!F12*1.04</f>
        <v>52.533312000000002</v>
      </c>
      <c r="G12" s="71">
        <f t="shared" ca="1" si="2"/>
        <v>263.52987685787542</v>
      </c>
      <c r="H12" s="71">
        <f t="shared" ca="1" si="3"/>
        <v>428.47682266267543</v>
      </c>
      <c r="I12" s="72"/>
      <c r="J12" s="56">
        <f>'1(2020-21)'!G12*$K$1</f>
        <v>0</v>
      </c>
      <c r="K12" s="56">
        <f>'1(2020-21)'!F12*$K$1</f>
        <v>31.317199999999982</v>
      </c>
      <c r="L12" s="56">
        <f t="shared" ca="1" si="4"/>
        <v>50.560265074195698</v>
      </c>
      <c r="M12" s="56">
        <f>'Annexure ii (Dep)'!D11</f>
        <v>15.23</v>
      </c>
      <c r="N12" s="56">
        <f>' Annexure iii O&amp;M '!D11</f>
        <v>209.8832856576</v>
      </c>
      <c r="O12" s="56">
        <f>'IV(IWC2019-20)'!O12*(1+$P$1)</f>
        <v>135.10819041545659</v>
      </c>
      <c r="P12" s="56">
        <f t="shared" ca="1" si="5"/>
        <v>442.09894114725228</v>
      </c>
      <c r="Q12" s="71">
        <v>3.87</v>
      </c>
      <c r="R12" s="56">
        <f>(C12*24*365*0.8/1000)*Q12/10</f>
        <v>1139.08032</v>
      </c>
    </row>
    <row r="13" spans="1:18" ht="23.25" customHeight="1">
      <c r="A13" s="55">
        <v>8</v>
      </c>
      <c r="B13" s="70" t="s">
        <v>123</v>
      </c>
      <c r="C13" s="40">
        <v>420</v>
      </c>
      <c r="D13" s="71">
        <f t="shared" ref="D13:D18" si="6">R13/12</f>
        <v>94.923360000000002</v>
      </c>
      <c r="E13" s="71">
        <f t="shared" ref="E13:E18" si="7">N13/12</f>
        <v>17.490273804800001</v>
      </c>
      <c r="F13" s="71">
        <f>'IV(IWC2019-20)'!F13*1.04</f>
        <v>27.634880000000003</v>
      </c>
      <c r="G13" s="71">
        <f t="shared" ref="G13:G18" ca="1" si="8">(P13+R13)/6</f>
        <v>239.29356006232001</v>
      </c>
      <c r="H13" s="71">
        <f t="shared" ref="H13:H18" ca="1" si="9">D13+E13+F13+G13</f>
        <v>379.34207386712001</v>
      </c>
      <c r="I13" s="72"/>
      <c r="J13" s="56">
        <f>'1(2020-21)'!G13*$K$1</f>
        <v>0</v>
      </c>
      <c r="K13" s="56">
        <f>'1(2020-21)'!F13*$K$1</f>
        <v>34.181818571428558</v>
      </c>
      <c r="L13" s="56">
        <f t="shared" ref="L13:L18" ca="1" si="10">H13*$K$1</f>
        <v>44.762364716320157</v>
      </c>
      <c r="M13" s="56">
        <f>'Annexure ii (Dep)'!D12</f>
        <v>7.8535714285714286</v>
      </c>
      <c r="N13" s="56">
        <f>' Annexure iii O&amp;M '!D12</f>
        <v>209.8832856576</v>
      </c>
      <c r="O13" s="56">
        <f>'IV(IWC2019-20)'!O13*(1+$P$1)</f>
        <v>0</v>
      </c>
      <c r="P13" s="56">
        <f t="shared" ca="1" si="5"/>
        <v>296.68104037392015</v>
      </c>
      <c r="Q13" s="71">
        <v>3.87</v>
      </c>
      <c r="R13" s="56">
        <f t="shared" ref="R13:R18" si="11">(C13*24*365*0.8/1000)*Q13/10</f>
        <v>1139.08032</v>
      </c>
    </row>
    <row r="14" spans="1:18" ht="23.25" customHeight="1">
      <c r="A14" s="55">
        <v>9</v>
      </c>
      <c r="B14" s="70" t="s">
        <v>124</v>
      </c>
      <c r="C14" s="40">
        <v>500</v>
      </c>
      <c r="D14" s="71">
        <f t="shared" si="6"/>
        <v>91.98</v>
      </c>
      <c r="E14" s="71">
        <f t="shared" si="7"/>
        <v>13.939907431680004</v>
      </c>
      <c r="F14" s="71">
        <f>'IV(IWC2019-20)'!F14*1.04</f>
        <v>33.107776000000001</v>
      </c>
      <c r="G14" s="71">
        <f t="shared" ca="1" si="8"/>
        <v>234.49434021734638</v>
      </c>
      <c r="H14" s="71">
        <f t="shared" ca="1" si="9"/>
        <v>373.52202364902638</v>
      </c>
      <c r="I14" s="72"/>
      <c r="J14" s="56">
        <f>'1(2020-21)'!G14*$K$1</f>
        <v>0</v>
      </c>
      <c r="K14" s="56">
        <f>'1(2020-21)'!F14*$K$1</f>
        <v>67.884219999999971</v>
      </c>
      <c r="L14" s="56">
        <f t="shared" ca="1" si="10"/>
        <v>44.075598790585111</v>
      </c>
      <c r="M14" s="56">
        <f>'Annexure ii (Dep)'!D13</f>
        <v>23.967333333333332</v>
      </c>
      <c r="N14" s="56">
        <f>' Annexure iii O&amp;M '!D13</f>
        <v>167.27888918016004</v>
      </c>
      <c r="O14" s="56">
        <f>'IV(IWC2019-20)'!O14*(1+$P$1)</f>
        <v>0</v>
      </c>
      <c r="P14" s="56">
        <f t="shared" ca="1" si="5"/>
        <v>303.20604130407844</v>
      </c>
      <c r="Q14" s="71">
        <v>3.15</v>
      </c>
      <c r="R14" s="56">
        <f t="shared" si="11"/>
        <v>1103.76</v>
      </c>
    </row>
    <row r="15" spans="1:18" ht="23.25" customHeight="1">
      <c r="A15" s="55">
        <v>10</v>
      </c>
      <c r="B15" s="70" t="s">
        <v>125</v>
      </c>
      <c r="C15" s="40">
        <v>210</v>
      </c>
      <c r="D15" s="71">
        <f t="shared" si="6"/>
        <v>47.461680000000001</v>
      </c>
      <c r="E15" s="71">
        <f t="shared" si="7"/>
        <v>8.7451369024000005</v>
      </c>
      <c r="F15" s="71">
        <f>'IV(IWC2019-20)'!F15*1.04</f>
        <v>17.262336000000001</v>
      </c>
      <c r="G15" s="71">
        <f t="shared" ca="1" si="8"/>
        <v>139.4994054524453</v>
      </c>
      <c r="H15" s="71">
        <f t="shared" ca="1" si="9"/>
        <v>212.9685583548453</v>
      </c>
      <c r="I15" s="72"/>
      <c r="J15" s="56">
        <f>'1(2020-21)'!G15*$K$1</f>
        <v>4.1167840000000169</v>
      </c>
      <c r="K15" s="56">
        <f>'1(2020-21)'!F15*$K$1</f>
        <v>43.157556</v>
      </c>
      <c r="L15" s="56">
        <f t="shared" ca="1" si="10"/>
        <v>25.130289885871743</v>
      </c>
      <c r="M15" s="56">
        <f>'Annexure ii (Dep)'!D14</f>
        <v>90.11</v>
      </c>
      <c r="N15" s="56">
        <f>' Annexure iii O&amp;M '!D14</f>
        <v>104.9416428288</v>
      </c>
      <c r="O15" s="56">
        <f>'IV(IWC2019-20)'!O15*(1+$P$1)</f>
        <v>0</v>
      </c>
      <c r="P15" s="56">
        <f t="shared" ca="1" si="5"/>
        <v>267.45627271467174</v>
      </c>
      <c r="Q15" s="71">
        <v>3.87</v>
      </c>
      <c r="R15" s="56">
        <f t="shared" si="11"/>
        <v>569.54016000000001</v>
      </c>
    </row>
    <row r="16" spans="1:18" ht="23.25" customHeight="1">
      <c r="A16" s="55">
        <v>11</v>
      </c>
      <c r="B16" s="70" t="s">
        <v>126</v>
      </c>
      <c r="C16" s="40">
        <v>50</v>
      </c>
      <c r="D16" s="71">
        <f t="shared" si="6"/>
        <v>0</v>
      </c>
      <c r="E16" s="71">
        <f t="shared" si="7"/>
        <v>0.67346901096364042</v>
      </c>
      <c r="F16" s="71">
        <f>'IV(IWC2019-20)'!F16*1.04</f>
        <v>3.0825600000000004</v>
      </c>
      <c r="G16" s="71">
        <f t="shared" ca="1" si="8"/>
        <v>8.680160853483633</v>
      </c>
      <c r="H16" s="71">
        <f t="shared" ca="1" si="9"/>
        <v>12.436189864447273</v>
      </c>
      <c r="I16" s="72"/>
      <c r="J16" s="56">
        <f>'1(2020-21)'!G16*$K$1</f>
        <v>22.063146445333334</v>
      </c>
      <c r="K16" s="56">
        <f>'1(2020-21)'!F16*$K$1</f>
        <v>10.438720139999999</v>
      </c>
      <c r="L16" s="56">
        <f ca="1">H16*K1</f>
        <v>1.4674704040047781</v>
      </c>
      <c r="M16" s="56">
        <f>'Annexure ii (Dep)'!D15</f>
        <v>10.029999999999999</v>
      </c>
      <c r="N16" s="56">
        <f>' Annexure iii O&amp;M '!D15</f>
        <v>8.0816281315636846</v>
      </c>
      <c r="O16" s="56">
        <f>'IV(IWC2019-20)'!O16*(1+$P$1)</f>
        <v>0</v>
      </c>
      <c r="P16" s="56">
        <f t="shared" ca="1" si="5"/>
        <v>52.080965120901794</v>
      </c>
      <c r="Q16" s="71"/>
      <c r="R16" s="56">
        <f t="shared" si="11"/>
        <v>0</v>
      </c>
    </row>
    <row r="17" spans="1:18" ht="23.25" customHeight="1">
      <c r="A17" s="55">
        <v>12</v>
      </c>
      <c r="B17" s="70" t="s">
        <v>127</v>
      </c>
      <c r="C17" s="40">
        <v>600</v>
      </c>
      <c r="D17" s="71">
        <f t="shared" si="6"/>
        <v>127.54560000000002</v>
      </c>
      <c r="E17" s="71">
        <f t="shared" si="7"/>
        <v>10.450950342400001</v>
      </c>
      <c r="F17" s="71">
        <f>'IV(IWC2019-20)'!F17*1.04</f>
        <v>50.471200000000003</v>
      </c>
      <c r="G17" s="71">
        <f t="shared" ca="1" si="8"/>
        <v>438.71286772682816</v>
      </c>
      <c r="H17" s="71">
        <f t="shared" ca="1" si="9"/>
        <v>627.18061806922822</v>
      </c>
      <c r="I17" s="72"/>
      <c r="J17" s="56">
        <f>'1(2020-21)'!G17*$K$1</f>
        <v>356.79137731999998</v>
      </c>
      <c r="K17" s="56">
        <f>'1(2020-21)'!F17*$K$1</f>
        <v>171.80965199999997</v>
      </c>
      <c r="L17" s="56">
        <f t="shared" ca="1" si="10"/>
        <v>74.007312932168929</v>
      </c>
      <c r="M17" s="56">
        <f>'Annexure ii (Dep)'!D16</f>
        <v>373.71026000000001</v>
      </c>
      <c r="N17" s="56">
        <f>' Annexure iii O&amp;M '!D16</f>
        <v>125.4114041088</v>
      </c>
      <c r="O17" s="56">
        <f>'IV(IWC2019-20)'!O17*(1+$P$1)</f>
        <v>0</v>
      </c>
      <c r="P17" s="56">
        <f t="shared" ca="1" si="5"/>
        <v>1101.7300063609689</v>
      </c>
      <c r="Q17" s="71">
        <v>3.64</v>
      </c>
      <c r="R17" s="56">
        <f t="shared" si="11"/>
        <v>1530.5472000000002</v>
      </c>
    </row>
    <row r="18" spans="1:18" ht="23.25" customHeight="1">
      <c r="A18" s="55">
        <v>13</v>
      </c>
      <c r="B18" s="70" t="s">
        <v>130</v>
      </c>
      <c r="C18" s="40">
        <v>800</v>
      </c>
      <c r="D18" s="71">
        <f t="shared" si="6"/>
        <v>136.42239999999998</v>
      </c>
      <c r="E18" s="71">
        <f t="shared" si="7"/>
        <v>13.934600456533332</v>
      </c>
      <c r="F18" s="71">
        <f>'IV(IWC2019-20)'!F18*1.04</f>
        <v>63.897599999999997</v>
      </c>
      <c r="G18" s="71">
        <f t="shared" ca="1" si="8"/>
        <v>511.5950699452348</v>
      </c>
      <c r="H18" s="71">
        <f t="shared" ca="1" si="9"/>
        <v>725.84967040176809</v>
      </c>
      <c r="I18" s="72"/>
      <c r="J18" s="56">
        <f>'1(2020-21)'!G18*$K$1</f>
        <v>489.06280108560003</v>
      </c>
      <c r="K18" s="56">
        <f>'1(2020-21)'!F18*$K$1</f>
        <v>217.49335199999999</v>
      </c>
      <c r="L18" s="56">
        <f t="shared" ca="1" si="10"/>
        <v>85.650261107408625</v>
      </c>
      <c r="M18" s="56">
        <f>'Annexure ii (Dep)'!D17</f>
        <v>473.08</v>
      </c>
      <c r="N18" s="56">
        <f>' Annexure iii O&amp;M '!D17</f>
        <v>167.21520547839998</v>
      </c>
      <c r="O18" s="56">
        <f>'IV(IWC2019-20)'!O18*(1+$P$1)</f>
        <v>0</v>
      </c>
      <c r="P18" s="56">
        <f t="shared" ca="1" si="5"/>
        <v>1432.5016196714087</v>
      </c>
      <c r="Q18" s="71">
        <v>2.92</v>
      </c>
      <c r="R18" s="56">
        <f t="shared" si="11"/>
        <v>1637.0687999999998</v>
      </c>
    </row>
    <row r="21" spans="1:18">
      <c r="P21" s="75"/>
    </row>
  </sheetData>
  <mergeCells count="2">
    <mergeCell ref="A2:H2"/>
    <mergeCell ref="A3:H3"/>
  </mergeCells>
  <phoneticPr fontId="2" type="noConversion"/>
  <printOptions horizontalCentered="1"/>
  <pageMargins left="0.62992125984251968" right="0.27559055118110237" top="0.6692913385826772" bottom="0.35433070866141736" header="0.43307086614173229" footer="0.23622047244094491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R19"/>
  <sheetViews>
    <sheetView topLeftCell="D2" zoomScale="96" zoomScaleNormal="96" workbookViewId="0">
      <selection activeCell="V12" sqref="V12"/>
    </sheetView>
  </sheetViews>
  <sheetFormatPr defaultRowHeight="15.75"/>
  <cols>
    <col min="1" max="1" width="9.85546875" style="28" customWidth="1"/>
    <col min="2" max="2" width="23.7109375" style="27" customWidth="1"/>
    <col min="3" max="3" width="13.85546875" style="28" customWidth="1"/>
    <col min="4" max="4" width="19" style="28" customWidth="1"/>
    <col min="5" max="5" width="15" style="28" customWidth="1"/>
    <col min="6" max="6" width="11.5703125" style="28" customWidth="1"/>
    <col min="7" max="7" width="12.42578125" style="28" customWidth="1"/>
    <col min="8" max="8" width="24.42578125" style="28" customWidth="1"/>
    <col min="9" max="9" width="10.42578125" style="28" customWidth="1"/>
    <col min="10" max="10" width="12.42578125" style="27" hidden="1" customWidth="1"/>
    <col min="11" max="11" width="11" style="27" hidden="1" customWidth="1"/>
    <col min="12" max="13" width="9.28515625" style="27" hidden="1" customWidth="1"/>
    <col min="14" max="14" width="9.42578125" style="27" hidden="1" customWidth="1"/>
    <col min="15" max="15" width="13" style="27" hidden="1" customWidth="1"/>
    <col min="16" max="16" width="12.140625" style="27" hidden="1" customWidth="1"/>
    <col min="17" max="17" width="10.42578125" style="27" hidden="1" customWidth="1"/>
    <col min="18" max="18" width="10.85546875" style="27" hidden="1" customWidth="1"/>
    <col min="19" max="16384" width="9.140625" style="27"/>
  </cols>
  <sheetData>
    <row r="1" spans="1:18" hidden="1">
      <c r="J1" s="63" t="s">
        <v>73</v>
      </c>
      <c r="K1" s="64">
        <f>'FC(2019-24)'!F2</f>
        <v>0.11799999999999999</v>
      </c>
      <c r="L1" s="63"/>
      <c r="M1" s="63"/>
      <c r="N1" s="63"/>
      <c r="O1" s="63" t="s">
        <v>111</v>
      </c>
      <c r="P1" s="64">
        <f>'IV(IWC2019-20)'!P1</f>
        <v>6.6400000000000001E-2</v>
      </c>
    </row>
    <row r="2" spans="1:18" ht="24" customHeight="1">
      <c r="A2" s="120" t="s">
        <v>114</v>
      </c>
      <c r="B2" s="120"/>
      <c r="C2" s="120"/>
      <c r="D2" s="120"/>
      <c r="E2" s="120"/>
      <c r="F2" s="120"/>
      <c r="G2" s="120"/>
      <c r="H2" s="120"/>
      <c r="I2" s="66"/>
    </row>
    <row r="3" spans="1:18" ht="20.25" customHeight="1">
      <c r="A3" s="121" t="s">
        <v>45</v>
      </c>
      <c r="B3" s="121"/>
      <c r="C3" s="121"/>
      <c r="D3" s="121"/>
      <c r="E3" s="121"/>
      <c r="F3" s="121"/>
      <c r="G3" s="121"/>
      <c r="H3" s="121"/>
      <c r="I3" s="26"/>
    </row>
    <row r="4" spans="1:18" ht="17.25" customHeight="1">
      <c r="A4" s="68"/>
      <c r="B4" s="68"/>
      <c r="C4" s="68"/>
      <c r="D4" s="68"/>
      <c r="E4" s="68"/>
      <c r="F4" s="68"/>
      <c r="G4" s="68"/>
      <c r="H4" s="68" t="s">
        <v>1</v>
      </c>
      <c r="I4" s="68"/>
      <c r="P4" s="73"/>
    </row>
    <row r="5" spans="1:18" s="65" customFormat="1" ht="36.75" customHeight="1">
      <c r="A5" s="57" t="s">
        <v>46</v>
      </c>
      <c r="B5" s="57" t="s">
        <v>2</v>
      </c>
      <c r="C5" s="57" t="s">
        <v>47</v>
      </c>
      <c r="D5" s="40" t="s">
        <v>48</v>
      </c>
      <c r="E5" s="40" t="s">
        <v>49</v>
      </c>
      <c r="F5" s="40" t="s">
        <v>50</v>
      </c>
      <c r="G5" s="40" t="s">
        <v>51</v>
      </c>
      <c r="H5" s="40" t="s">
        <v>52</v>
      </c>
      <c r="I5" s="69"/>
      <c r="J5" s="40" t="s">
        <v>54</v>
      </c>
      <c r="K5" s="40" t="s">
        <v>55</v>
      </c>
      <c r="L5" s="40" t="s">
        <v>53</v>
      </c>
      <c r="M5" s="57" t="s">
        <v>56</v>
      </c>
      <c r="N5" s="57" t="s">
        <v>39</v>
      </c>
      <c r="O5" s="57" t="s">
        <v>75</v>
      </c>
      <c r="P5" s="40" t="s">
        <v>119</v>
      </c>
      <c r="Q5" s="40" t="s">
        <v>118</v>
      </c>
      <c r="R5" s="40" t="s">
        <v>120</v>
      </c>
    </row>
    <row r="6" spans="1:18" ht="25.5" customHeight="1">
      <c r="A6" s="55">
        <v>1</v>
      </c>
      <c r="B6" s="70" t="s">
        <v>57</v>
      </c>
      <c r="C6" s="37">
        <v>725</v>
      </c>
      <c r="D6" s="71">
        <f t="shared" ref="D6:D12" si="0">R6/12</f>
        <v>0</v>
      </c>
      <c r="E6" s="71">
        <f t="shared" ref="E6:E12" si="1">N6/12</f>
        <v>15.982870810326915</v>
      </c>
      <c r="F6" s="71">
        <f>'IV(IWC2020-21)'!F6*1.04</f>
        <v>19.493893119999999</v>
      </c>
      <c r="G6" s="71">
        <f t="shared" ref="G6:G12" ca="1" si="2">(P6+R6)/6</f>
        <v>82.625034262010317</v>
      </c>
      <c r="H6" s="71">
        <f t="shared" ref="H6:H12" ca="1" si="3">D6+E6+F6+G6</f>
        <v>118.10179819233723</v>
      </c>
      <c r="I6" s="72"/>
      <c r="J6" s="76">
        <f>'1(2021-22)'!G6*$K$1</f>
        <v>0</v>
      </c>
      <c r="K6" s="76">
        <f>'1(2021-22)'!F6*$K$1</f>
        <v>20.691300000000002</v>
      </c>
      <c r="L6" s="76">
        <f t="shared" ref="L6:L12" ca="1" si="4">H6*$K$1</f>
        <v>13.936012186695793</v>
      </c>
      <c r="M6" s="76">
        <f>'Annexure ii (Dep)'!E5</f>
        <v>20.62</v>
      </c>
      <c r="N6" s="76">
        <f>' Annexure iii O&amp;M '!E5</f>
        <v>191.79444972392298</v>
      </c>
      <c r="O6" s="76">
        <f>'IV(IWC2020-21)'!O6*(1+$P$1)</f>
        <v>248.70844366144314</v>
      </c>
      <c r="P6" s="76">
        <f ca="1">J6+K6+L6+M6+N6+O6</f>
        <v>495.75020557206193</v>
      </c>
      <c r="Q6" s="76"/>
      <c r="R6" s="77"/>
    </row>
    <row r="7" spans="1:18" ht="25.5" customHeight="1">
      <c r="A7" s="55">
        <v>2</v>
      </c>
      <c r="B7" s="70" t="s">
        <v>68</v>
      </c>
      <c r="C7" s="37">
        <v>90</v>
      </c>
      <c r="D7" s="71">
        <f t="shared" si="0"/>
        <v>0</v>
      </c>
      <c r="E7" s="71">
        <f t="shared" si="1"/>
        <v>1.7412241711176319</v>
      </c>
      <c r="F7" s="71">
        <f>'IV(IWC2020-21)'!F7*1.04</f>
        <v>3.1721164800000001</v>
      </c>
      <c r="G7" s="71">
        <f t="shared" ca="1" si="2"/>
        <v>9.9993813690452047</v>
      </c>
      <c r="H7" s="71">
        <f t="shared" ca="1" si="3"/>
        <v>14.912722020162837</v>
      </c>
      <c r="I7" s="72"/>
      <c r="J7" s="76">
        <f>'1(2021-22)'!G7*$K$1</f>
        <v>0</v>
      </c>
      <c r="K7" s="76">
        <f>'1(2021-22)'!F7*$K$1</f>
        <v>2.885827357083679</v>
      </c>
      <c r="L7" s="76">
        <f t="shared" ca="1" si="4"/>
        <v>1.7597011983792148</v>
      </c>
      <c r="M7" s="76">
        <f>'Annexure ii (Dep)'!E6</f>
        <v>3.5819179784589887</v>
      </c>
      <c r="N7" s="76">
        <f>' Annexure iii O&amp;M '!E6</f>
        <v>20.894690053411583</v>
      </c>
      <c r="O7" s="76">
        <f>'IV(IWC2020-21)'!O7*(1+$P$1)</f>
        <v>30.87415162693777</v>
      </c>
      <c r="P7" s="76">
        <f t="shared" ref="P7:P12" ca="1" si="5">J7+K7+L7+M7+N7+O7</f>
        <v>59.996288214271232</v>
      </c>
      <c r="Q7" s="76"/>
      <c r="R7" s="77"/>
    </row>
    <row r="8" spans="1:18" ht="25.5" customHeight="1">
      <c r="A8" s="55">
        <v>3</v>
      </c>
      <c r="B8" s="70" t="s">
        <v>58</v>
      </c>
      <c r="C8" s="37">
        <v>770</v>
      </c>
      <c r="D8" s="71">
        <f t="shared" si="0"/>
        <v>0</v>
      </c>
      <c r="E8" s="71">
        <f t="shared" si="1"/>
        <v>13.183154225184358</v>
      </c>
      <c r="F8" s="71">
        <f>'IV(IWC2020-21)'!F8*1.04</f>
        <v>26.389309440000005</v>
      </c>
      <c r="G8" s="71">
        <f t="shared" ca="1" si="2"/>
        <v>82.461431637132961</v>
      </c>
      <c r="H8" s="71">
        <f t="shared" ca="1" si="3"/>
        <v>122.03389530231732</v>
      </c>
      <c r="I8" s="72"/>
      <c r="J8" s="76">
        <f>'1(2021-22)'!G8*$K$1</f>
        <v>0</v>
      </c>
      <c r="K8" s="76">
        <f>'1(2021-22)'!F8*$K$1</f>
        <v>25.935219999999994</v>
      </c>
      <c r="L8" s="76">
        <f t="shared" ca="1" si="4"/>
        <v>14.399999645673443</v>
      </c>
      <c r="M8" s="76">
        <f>'Annexure ii (Dep)'!E7</f>
        <v>32.090000000000003</v>
      </c>
      <c r="N8" s="76">
        <f>' Annexure iii O&amp;M '!E7</f>
        <v>158.19785070221229</v>
      </c>
      <c r="O8" s="76">
        <f>'IV(IWC2020-21)'!O8*(1+$P$1)</f>
        <v>264.14551947491202</v>
      </c>
      <c r="P8" s="76">
        <f t="shared" ca="1" si="5"/>
        <v>494.76858982279776</v>
      </c>
      <c r="Q8" s="76"/>
      <c r="R8" s="77"/>
    </row>
    <row r="9" spans="1:18" ht="25.5" customHeight="1">
      <c r="A9" s="55">
        <v>4</v>
      </c>
      <c r="B9" s="70" t="s">
        <v>65</v>
      </c>
      <c r="C9" s="40">
        <v>20</v>
      </c>
      <c r="D9" s="71">
        <f t="shared" si="0"/>
        <v>0</v>
      </c>
      <c r="E9" s="71">
        <f t="shared" si="1"/>
        <v>0.73924324933549712</v>
      </c>
      <c r="F9" s="71">
        <f>'IV(IWC2020-21)'!F9*1.04</f>
        <v>1.1923558400000003</v>
      </c>
      <c r="G9" s="71">
        <f t="shared" ca="1" si="2"/>
        <v>3.4165346710299502</v>
      </c>
      <c r="H9" s="71">
        <f t="shared" ca="1" si="3"/>
        <v>5.3481337603654477</v>
      </c>
      <c r="I9" s="72"/>
      <c r="J9" s="76">
        <f>'1(2021-22)'!G9*$K$1</f>
        <v>0.52148133333333346</v>
      </c>
      <c r="K9" s="76">
        <f>'1(2021-22)'!F9*$K$1</f>
        <v>2.0064719999999996</v>
      </c>
      <c r="L9" s="76">
        <f t="shared" ca="1" si="4"/>
        <v>0.63107978372312279</v>
      </c>
      <c r="M9" s="76">
        <f>'Annexure ii (Dep)'!E8</f>
        <v>1.6083333333333334</v>
      </c>
      <c r="N9" s="76">
        <f>' Annexure iii O&amp;M '!E8</f>
        <v>8.870918992025965</v>
      </c>
      <c r="O9" s="76">
        <f>'IV(IWC2020-21)'!O9*(1+$P$1)</f>
        <v>6.8609225837639469</v>
      </c>
      <c r="P9" s="76">
        <f t="shared" ca="1" si="5"/>
        <v>20.499208026179701</v>
      </c>
      <c r="Q9" s="76"/>
      <c r="R9" s="77"/>
    </row>
    <row r="10" spans="1:18" ht="25.5" customHeight="1">
      <c r="A10" s="55">
        <v>5</v>
      </c>
      <c r="B10" s="70" t="s">
        <v>66</v>
      </c>
      <c r="C10" s="40">
        <v>1</v>
      </c>
      <c r="D10" s="71">
        <f t="shared" si="0"/>
        <v>0</v>
      </c>
      <c r="E10" s="71">
        <f t="shared" si="1"/>
        <v>0.11359327781497482</v>
      </c>
      <c r="F10" s="71">
        <f>'IV(IWC2020-21)'!F10*1.04</f>
        <v>6.7491839999999997E-2</v>
      </c>
      <c r="G10" s="71">
        <f t="shared" ca="1" si="2"/>
        <v>0.34325127485095902</v>
      </c>
      <c r="H10" s="71">
        <f t="shared" ca="1" si="3"/>
        <v>0.5243363926659339</v>
      </c>
      <c r="I10" s="72"/>
      <c r="J10" s="76">
        <f>'1(2021-22)'!G10*$K$1</f>
        <v>8.5472622950819671E-2</v>
      </c>
      <c r="K10" s="76">
        <f>'1(2021-22)'!F10*$K$1</f>
        <v>0.12566999999999998</v>
      </c>
      <c r="L10" s="76">
        <f t="shared" ca="1" si="4"/>
        <v>6.1871694334580195E-2</v>
      </c>
      <c r="M10" s="76">
        <f>'Annexure ii (Dep)'!E9</f>
        <v>8.0327868852459017E-2</v>
      </c>
      <c r="N10" s="76">
        <f>' Annexure iii O&amp;M '!E9</f>
        <v>1.3631193337796979</v>
      </c>
      <c r="O10" s="76">
        <f>'IV(IWC2020-21)'!O10*(1+$P$1)</f>
        <v>0.34304612918819744</v>
      </c>
      <c r="P10" s="76">
        <f t="shared" ca="1" si="5"/>
        <v>2.059507649105754</v>
      </c>
      <c r="Q10" s="76"/>
      <c r="R10" s="77"/>
    </row>
    <row r="11" spans="1:18" ht="25.5" customHeight="1">
      <c r="A11" s="55">
        <v>6</v>
      </c>
      <c r="B11" s="70" t="s">
        <v>59</v>
      </c>
      <c r="C11" s="40">
        <v>1260</v>
      </c>
      <c r="D11" s="71">
        <f t="shared" si="0"/>
        <v>270.05328000000003</v>
      </c>
      <c r="E11" s="71">
        <f t="shared" si="1"/>
        <v>55.956096675951109</v>
      </c>
      <c r="F11" s="71">
        <f>'IV(IWC2020-21)'!F11*1.04</f>
        <v>62.407454720000004</v>
      </c>
      <c r="G11" s="71">
        <f t="shared" ca="1" si="2"/>
        <v>760.51436325398356</v>
      </c>
      <c r="H11" s="71">
        <f t="shared" ca="1" si="3"/>
        <v>1148.9311946499347</v>
      </c>
      <c r="I11" s="72"/>
      <c r="J11" s="76">
        <f>'1(2021-22)'!G11*$K$1</f>
        <v>0</v>
      </c>
      <c r="K11" s="76">
        <f>'1(2021-22)'!F11*$K$1</f>
        <v>41.571655666666686</v>
      </c>
      <c r="L11" s="76">
        <f t="shared" ca="1" si="4"/>
        <v>135.57388096869229</v>
      </c>
      <c r="M11" s="76">
        <f>'Annexure ii (Dep)'!E10</f>
        <v>41.59</v>
      </c>
      <c r="N11" s="76">
        <f>' Annexure iii O&amp;M '!E10</f>
        <v>671.47316011141334</v>
      </c>
      <c r="O11" s="76">
        <f>'IV(IWC2020-21)'!O11*(1+$P$1)</f>
        <v>432.23812277712875</v>
      </c>
      <c r="P11" s="76">
        <f t="shared" ca="1" si="5"/>
        <v>1322.446819523901</v>
      </c>
      <c r="Q11" s="71">
        <v>3.67</v>
      </c>
      <c r="R11" s="76">
        <f>(C11*24*365*0.8/1000)*Q11/10</f>
        <v>3240.6393600000001</v>
      </c>
    </row>
    <row r="12" spans="1:18" ht="25.5" customHeight="1">
      <c r="A12" s="55">
        <v>7</v>
      </c>
      <c r="B12" s="70" t="s">
        <v>20</v>
      </c>
      <c r="C12" s="40">
        <v>420</v>
      </c>
      <c r="D12" s="71">
        <f t="shared" si="0"/>
        <v>94.923360000000002</v>
      </c>
      <c r="E12" s="71">
        <f t="shared" si="1"/>
        <v>18.651627985438719</v>
      </c>
      <c r="F12" s="71">
        <f>'IV(IWC2020-21)'!F12*1.04</f>
        <v>54.634644480000006</v>
      </c>
      <c r="G12" s="71">
        <f t="shared" ca="1" si="2"/>
        <v>267.18429559932497</v>
      </c>
      <c r="H12" s="71">
        <f t="shared" ca="1" si="3"/>
        <v>435.39392806476371</v>
      </c>
      <c r="I12" s="72"/>
      <c r="J12" s="76">
        <f>'1(2021-22)'!G12*$K$1</f>
        <v>0</v>
      </c>
      <c r="K12" s="76">
        <f>'1(2021-22)'!F12*$K$1</f>
        <v>29.52005999999998</v>
      </c>
      <c r="L12" s="76">
        <f t="shared" ca="1" si="4"/>
        <v>51.376483511642114</v>
      </c>
      <c r="M12" s="76">
        <f>'Annexure ii (Dep)'!E11</f>
        <v>15.23</v>
      </c>
      <c r="N12" s="76">
        <f>' Annexure iii O&amp;M '!E11</f>
        <v>223.81953582526464</v>
      </c>
      <c r="O12" s="76">
        <f>'IV(IWC2020-21)'!O12*(1+$P$1)</f>
        <v>144.07937425904291</v>
      </c>
      <c r="P12" s="76">
        <f t="shared" ca="1" si="5"/>
        <v>464.02545359594967</v>
      </c>
      <c r="Q12" s="71">
        <v>3.87</v>
      </c>
      <c r="R12" s="76">
        <f>(C12*24*365*0.8/1000)*Q12/10</f>
        <v>1139.08032</v>
      </c>
    </row>
    <row r="13" spans="1:18" ht="25.5" customHeight="1">
      <c r="A13" s="55">
        <v>8</v>
      </c>
      <c r="B13" s="70" t="s">
        <v>123</v>
      </c>
      <c r="C13" s="40">
        <v>420</v>
      </c>
      <c r="D13" s="71">
        <f t="shared" ref="D13:D18" si="6">R13/12</f>
        <v>94.923360000000002</v>
      </c>
      <c r="E13" s="71">
        <f t="shared" ref="E13:E18" si="7">N13/12</f>
        <v>18.651627985438719</v>
      </c>
      <c r="F13" s="71">
        <f>'IV(IWC2020-21)'!F13*1.04</f>
        <v>28.740275200000003</v>
      </c>
      <c r="G13" s="71">
        <f t="shared" ref="G13:G18" ca="1" si="8">(P13+R13)/6</f>
        <v>241.55078637412021</v>
      </c>
      <c r="H13" s="71">
        <f t="shared" ref="H13:H18" ca="1" si="9">D13+E13+F13+G13</f>
        <v>383.86604955955897</v>
      </c>
      <c r="I13" s="72"/>
      <c r="J13" s="76">
        <f>'1(2021-22)'!G13*$K$1</f>
        <v>0</v>
      </c>
      <c r="K13" s="76">
        <f>'1(2021-22)'!F13*$K$1</f>
        <v>33.255097142857117</v>
      </c>
      <c r="L13" s="76">
        <f t="shared" ref="L13:L18" ca="1" si="10">H13*$K$1</f>
        <v>45.296193848027954</v>
      </c>
      <c r="M13" s="76">
        <f>'Annexure ii (Dep)'!E12</f>
        <v>7.8535714285714286</v>
      </c>
      <c r="N13" s="76">
        <f>' Annexure iii O&amp;M '!E12</f>
        <v>223.81953582526464</v>
      </c>
      <c r="O13" s="76"/>
      <c r="P13" s="76">
        <f t="shared" ref="P13:P18" ca="1" si="11">J13+K13+L13+M13+N13+O13</f>
        <v>310.2243982447211</v>
      </c>
      <c r="Q13" s="71">
        <v>3.87</v>
      </c>
      <c r="R13" s="76">
        <f t="shared" ref="R13:R18" si="12">(C13*24*365*0.8/1000)*Q13/10</f>
        <v>1139.08032</v>
      </c>
    </row>
    <row r="14" spans="1:18" ht="25.5" customHeight="1">
      <c r="A14" s="55">
        <v>9</v>
      </c>
      <c r="B14" s="70" t="s">
        <v>124</v>
      </c>
      <c r="C14" s="40">
        <v>500</v>
      </c>
      <c r="D14" s="71">
        <f t="shared" si="6"/>
        <v>91.98</v>
      </c>
      <c r="E14" s="71">
        <f t="shared" si="7"/>
        <v>14.865517285143556</v>
      </c>
      <c r="F14" s="71">
        <f>'IV(IWC2020-21)'!F14*1.04</f>
        <v>34.432087039999999</v>
      </c>
      <c r="G14" s="71">
        <f t="shared" ca="1" si="8"/>
        <v>235.94747354620131</v>
      </c>
      <c r="H14" s="71">
        <f t="shared" ca="1" si="9"/>
        <v>377.22507787134487</v>
      </c>
      <c r="I14" s="72"/>
      <c r="J14" s="76">
        <f>'1(2021-22)'!G14*$K$1</f>
        <v>0</v>
      </c>
      <c r="K14" s="76">
        <f>'1(2021-22)'!F14*$K$1</f>
        <v>65.056074666666646</v>
      </c>
      <c r="L14" s="76">
        <f t="shared" ca="1" si="10"/>
        <v>44.512559188818692</v>
      </c>
      <c r="M14" s="76">
        <f>'Annexure ii (Dep)'!E13</f>
        <v>23.97</v>
      </c>
      <c r="N14" s="76">
        <f>' Annexure iii O&amp;M '!E13</f>
        <v>178.38620742172267</v>
      </c>
      <c r="O14" s="76"/>
      <c r="P14" s="76">
        <f t="shared" ca="1" si="11"/>
        <v>311.92484127720797</v>
      </c>
      <c r="Q14" s="71">
        <v>3.15</v>
      </c>
      <c r="R14" s="76">
        <f t="shared" si="12"/>
        <v>1103.76</v>
      </c>
    </row>
    <row r="15" spans="1:18" ht="25.5" customHeight="1">
      <c r="A15" s="55">
        <v>10</v>
      </c>
      <c r="B15" s="70" t="s">
        <v>125</v>
      </c>
      <c r="C15" s="40">
        <v>210</v>
      </c>
      <c r="D15" s="71">
        <f t="shared" si="6"/>
        <v>47.461680000000001</v>
      </c>
      <c r="E15" s="71">
        <f t="shared" si="7"/>
        <v>9.3258139927193593</v>
      </c>
      <c r="F15" s="71">
        <f>'IV(IWC2020-21)'!F15*1.04</f>
        <v>17.952829440000002</v>
      </c>
      <c r="G15" s="71">
        <f t="shared" ca="1" si="8"/>
        <v>125.71993302918959</v>
      </c>
      <c r="H15" s="71">
        <f t="shared" ca="1" si="9"/>
        <v>200.46025646190895</v>
      </c>
      <c r="I15" s="72"/>
      <c r="J15" s="76">
        <f>'1(2021-22)'!G15*$K$1</f>
        <v>0</v>
      </c>
      <c r="K15" s="76">
        <f>'1(2021-22)'!F15*$K$1</f>
        <v>36.641360000000006</v>
      </c>
      <c r="L15" s="76">
        <f t="shared" ca="1" si="10"/>
        <v>23.654310262505255</v>
      </c>
      <c r="M15" s="76">
        <f>'Annexure ii (Dep)'!E14</f>
        <v>12.574000000000002</v>
      </c>
      <c r="N15" s="76">
        <f>' Annexure iii O&amp;M '!E14</f>
        <v>111.90976791263232</v>
      </c>
      <c r="O15" s="76"/>
      <c r="P15" s="76">
        <f t="shared" ca="1" si="11"/>
        <v>184.77943817513759</v>
      </c>
      <c r="Q15" s="71">
        <v>3.87</v>
      </c>
      <c r="R15" s="76">
        <f t="shared" si="12"/>
        <v>569.54016000000001</v>
      </c>
    </row>
    <row r="16" spans="1:18" ht="25.5" customHeight="1">
      <c r="A16" s="55">
        <v>11</v>
      </c>
      <c r="B16" s="70" t="s">
        <v>126</v>
      </c>
      <c r="C16" s="40">
        <v>50</v>
      </c>
      <c r="D16" s="71">
        <f t="shared" si="6"/>
        <v>0</v>
      </c>
      <c r="E16" s="71">
        <f t="shared" si="7"/>
        <v>0.71818735329162608</v>
      </c>
      <c r="F16" s="71">
        <f>'IV(IWC2020-21)'!F16*1.04</f>
        <v>3.2058624000000004</v>
      </c>
      <c r="G16" s="71">
        <f t="shared" ca="1" si="8"/>
        <v>8.5735485711868851</v>
      </c>
      <c r="H16" s="71">
        <f t="shared" ca="1" si="9"/>
        <v>12.497598324478512</v>
      </c>
      <c r="I16" s="72"/>
      <c r="J16" s="76">
        <f>'1(2021-22)'!G16*$K$1</f>
        <v>20.879606445333334</v>
      </c>
      <c r="K16" s="76">
        <f>'1(2021-22)'!F16*$K$1</f>
        <v>10.438720139999999</v>
      </c>
      <c r="L16" s="76">
        <f t="shared" ca="1" si="10"/>
        <v>1.4747166022884644</v>
      </c>
      <c r="M16" s="76">
        <f>'Annexure ii (Dep)'!E15</f>
        <v>10.029999999999999</v>
      </c>
      <c r="N16" s="76">
        <f>' Annexure iii O&amp;M '!E15</f>
        <v>8.618248239499513</v>
      </c>
      <c r="O16" s="76"/>
      <c r="P16" s="76">
        <f t="shared" ca="1" si="11"/>
        <v>51.441291427121314</v>
      </c>
      <c r="Q16" s="71"/>
      <c r="R16" s="76">
        <f t="shared" si="12"/>
        <v>0</v>
      </c>
    </row>
    <row r="17" spans="1:18" ht="25.5" customHeight="1">
      <c r="A17" s="55">
        <v>12</v>
      </c>
      <c r="B17" s="70" t="s">
        <v>127</v>
      </c>
      <c r="C17" s="40">
        <v>600</v>
      </c>
      <c r="D17" s="71">
        <f t="shared" si="6"/>
        <v>127.54560000000002</v>
      </c>
      <c r="E17" s="71">
        <f t="shared" si="7"/>
        <v>11.144893445135359</v>
      </c>
      <c r="F17" s="71">
        <f>'IV(IWC2020-21)'!F17*1.04</f>
        <v>52.490048000000002</v>
      </c>
      <c r="G17" s="71">
        <f t="shared" ca="1" si="8"/>
        <v>432.68594081471446</v>
      </c>
      <c r="H17" s="71">
        <f t="shared" ca="1" si="9"/>
        <v>623.86648225984982</v>
      </c>
      <c r="I17" s="72"/>
      <c r="J17" s="76">
        <f>'1(2021-22)'!G17*$K$1</f>
        <v>312.69356663999997</v>
      </c>
      <c r="K17" s="76">
        <f>'1(2021-22)'!F17*$K$1</f>
        <v>171.80965199999997</v>
      </c>
      <c r="L17" s="76">
        <f t="shared" ca="1" si="10"/>
        <v>73.616244906662274</v>
      </c>
      <c r="M17" s="76">
        <f>'Annexure ii (Dep)'!E16</f>
        <v>373.71026000000001</v>
      </c>
      <c r="N17" s="76">
        <f>' Annexure iii O&amp;M '!E16</f>
        <v>133.73872134162431</v>
      </c>
      <c r="O17" s="76"/>
      <c r="P17" s="76">
        <f t="shared" ca="1" si="11"/>
        <v>1065.5684448882866</v>
      </c>
      <c r="Q17" s="71">
        <v>3.64</v>
      </c>
      <c r="R17" s="76">
        <f t="shared" si="12"/>
        <v>1530.5472000000002</v>
      </c>
    </row>
    <row r="18" spans="1:18" ht="25.5" customHeight="1">
      <c r="A18" s="55">
        <v>13</v>
      </c>
      <c r="B18" s="70" t="s">
        <v>130</v>
      </c>
      <c r="C18" s="40">
        <v>800</v>
      </c>
      <c r="D18" s="71">
        <f t="shared" si="6"/>
        <v>136.42239999999998</v>
      </c>
      <c r="E18" s="71">
        <f t="shared" si="7"/>
        <v>14.859857926847146</v>
      </c>
      <c r="F18" s="71">
        <f>'IV(IWC2020-21)'!F18*1.04</f>
        <v>66.453503999999995</v>
      </c>
      <c r="G18" s="71">
        <f t="shared" ca="1" si="8"/>
        <v>504.0619904990026</v>
      </c>
      <c r="H18" s="71">
        <f t="shared" ca="1" si="9"/>
        <v>721.79775242584969</v>
      </c>
      <c r="I18" s="72"/>
      <c r="J18" s="76">
        <f>'1(2021-22)'!G18*$K$1</f>
        <v>433.23936108560002</v>
      </c>
      <c r="K18" s="76">
        <f>'1(2021-22)'!F18*$K$1</f>
        <v>217.49335199999999</v>
      </c>
      <c r="L18" s="76">
        <f t="shared" ca="1" si="10"/>
        <v>85.172134786250254</v>
      </c>
      <c r="M18" s="76">
        <f>'Annexure ii (Dep)'!E17</f>
        <v>473.08</v>
      </c>
      <c r="N18" s="76">
        <f>' Annexure iii O&amp;M '!E17</f>
        <v>178.31829512216575</v>
      </c>
      <c r="O18" s="76"/>
      <c r="P18" s="76">
        <f t="shared" ca="1" si="11"/>
        <v>1387.3031429940161</v>
      </c>
      <c r="Q18" s="71">
        <v>2.92</v>
      </c>
      <c r="R18" s="76">
        <f t="shared" si="12"/>
        <v>1637.0687999999998</v>
      </c>
    </row>
    <row r="19" spans="1:18" ht="25.5" customHeight="1">
      <c r="A19" s="55">
        <v>14</v>
      </c>
      <c r="B19" s="70" t="s">
        <v>137</v>
      </c>
      <c r="C19" s="40"/>
      <c r="D19" s="71">
        <f t="shared" ref="D19" si="13">R19/12</f>
        <v>0</v>
      </c>
      <c r="E19" s="71">
        <f t="shared" ref="E19" si="14">N19/12</f>
        <v>6.6736874999999998</v>
      </c>
      <c r="F19" s="71">
        <f>5338.95*1%</f>
        <v>53.389499999999998</v>
      </c>
      <c r="G19" s="71">
        <f t="shared" ref="G19" ca="1" si="15">(P19+R19)/6</f>
        <v>152.78682525076505</v>
      </c>
      <c r="H19" s="71">
        <f t="shared" ref="H19" ca="1" si="16">D19+E19+F19+G19</f>
        <v>212.85001275076505</v>
      </c>
      <c r="I19" s="72"/>
      <c r="J19" s="76">
        <f>'1(2021-22)'!G19*$K$1</f>
        <v>440.99726999999996</v>
      </c>
      <c r="K19" s="76">
        <f>'1(2021-22)'!F19*$K$1</f>
        <v>188.99882999999997</v>
      </c>
      <c r="L19" s="76">
        <f t="shared" ref="L19" ca="1" si="17">H19*$K$1</f>
        <v>25.116301504590275</v>
      </c>
      <c r="M19" s="76">
        <f>5338.95*3.4%</f>
        <v>181.52430000000001</v>
      </c>
      <c r="N19" s="76">
        <f>5338.95*1.5%</f>
        <v>80.084249999999997</v>
      </c>
      <c r="O19" s="76"/>
      <c r="P19" s="76">
        <f t="shared" ref="P19" ca="1" si="18">J19+K19+L19+M19+N19+O19</f>
        <v>916.72095150459029</v>
      </c>
      <c r="Q19" s="71"/>
      <c r="R19" s="76">
        <f t="shared" ref="R19" si="19">(C19*24*365*0.8/1000)*Q19/10</f>
        <v>0</v>
      </c>
    </row>
  </sheetData>
  <mergeCells count="2">
    <mergeCell ref="A2:H2"/>
    <mergeCell ref="A3:H3"/>
  </mergeCells>
  <phoneticPr fontId="2" type="noConversion"/>
  <printOptions horizontalCentered="1"/>
  <pageMargins left="0.62992125984251968" right="0.27559055118110237" top="0.6692913385826772" bottom="0.35433070866141736" header="0.43307086614173229" footer="0.23622047244094491"/>
  <pageSetup paperSize="9" orientation="landscape" r:id="rId1"/>
  <headerFooter alignWithMargins="0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R19"/>
  <sheetViews>
    <sheetView topLeftCell="C2" zoomScale="89" zoomScaleNormal="89" workbookViewId="0">
      <selection activeCell="U17" sqref="U17"/>
    </sheetView>
  </sheetViews>
  <sheetFormatPr defaultRowHeight="15.75"/>
  <cols>
    <col min="1" max="1" width="9.28515625" style="28" bestFit="1" customWidth="1"/>
    <col min="2" max="2" width="22.42578125" style="27" customWidth="1"/>
    <col min="3" max="3" width="11.140625" style="28" customWidth="1"/>
    <col min="4" max="4" width="14.85546875" style="28" customWidth="1"/>
    <col min="5" max="5" width="13.140625" style="28" customWidth="1"/>
    <col min="6" max="6" width="8.5703125" style="28" customWidth="1"/>
    <col min="7" max="7" width="13" style="28" customWidth="1"/>
    <col min="8" max="8" width="16.140625" style="28" customWidth="1"/>
    <col min="9" max="9" width="12.140625" style="28" customWidth="1"/>
    <col min="10" max="10" width="13.140625" style="27" hidden="1" customWidth="1"/>
    <col min="11" max="11" width="11.42578125" style="27" hidden="1" customWidth="1"/>
    <col min="12" max="12" width="9.28515625" style="27" hidden="1" customWidth="1"/>
    <col min="13" max="14" width="9.42578125" style="27" hidden="1" customWidth="1"/>
    <col min="15" max="15" width="10.7109375" style="27" hidden="1" customWidth="1"/>
    <col min="16" max="16" width="10.42578125" style="27" hidden="1" customWidth="1"/>
    <col min="17" max="17" width="9.28515625" style="27" hidden="1" customWidth="1"/>
    <col min="18" max="18" width="10.85546875" style="27" hidden="1" customWidth="1"/>
    <col min="19" max="16384" width="9.140625" style="27"/>
  </cols>
  <sheetData>
    <row r="1" spans="1:18" hidden="1">
      <c r="J1" s="63" t="s">
        <v>73</v>
      </c>
      <c r="K1" s="64">
        <f>'FC(2019-24)'!F2</f>
        <v>0.11799999999999999</v>
      </c>
      <c r="L1" s="63"/>
      <c r="M1" s="63"/>
      <c r="N1" s="63"/>
      <c r="O1" s="63" t="s">
        <v>111</v>
      </c>
      <c r="P1" s="64">
        <f>'IV(IWC2019-20)'!P1</f>
        <v>6.6400000000000001E-2</v>
      </c>
    </row>
    <row r="2" spans="1:18" ht="24" customHeight="1">
      <c r="A2" s="120" t="s">
        <v>115</v>
      </c>
      <c r="B2" s="120"/>
      <c r="C2" s="120"/>
      <c r="D2" s="120"/>
      <c r="E2" s="120"/>
      <c r="F2" s="120"/>
      <c r="G2" s="120"/>
      <c r="H2" s="120"/>
      <c r="I2" s="66"/>
    </row>
    <row r="3" spans="1:18" ht="20.25" customHeight="1">
      <c r="A3" s="121" t="s">
        <v>45</v>
      </c>
      <c r="B3" s="121"/>
      <c r="C3" s="121"/>
      <c r="D3" s="121"/>
      <c r="E3" s="121"/>
      <c r="F3" s="121"/>
      <c r="G3" s="121"/>
      <c r="H3" s="121"/>
      <c r="I3" s="26"/>
    </row>
    <row r="4" spans="1:18" ht="17.25" customHeight="1">
      <c r="A4" s="68"/>
      <c r="B4" s="68"/>
      <c r="C4" s="68"/>
      <c r="D4" s="68"/>
      <c r="E4" s="68"/>
      <c r="F4" s="68"/>
      <c r="G4" s="68"/>
      <c r="H4" s="68" t="s">
        <v>1</v>
      </c>
      <c r="I4" s="68"/>
      <c r="P4" s="73"/>
    </row>
    <row r="5" spans="1:18" s="65" customFormat="1" ht="60" customHeight="1">
      <c r="A5" s="57" t="s">
        <v>46</v>
      </c>
      <c r="B5" s="57" t="s">
        <v>2</v>
      </c>
      <c r="C5" s="57" t="s">
        <v>47</v>
      </c>
      <c r="D5" s="40" t="s">
        <v>48</v>
      </c>
      <c r="E5" s="40" t="s">
        <v>49</v>
      </c>
      <c r="F5" s="40" t="s">
        <v>50</v>
      </c>
      <c r="G5" s="40" t="s">
        <v>51</v>
      </c>
      <c r="H5" s="40" t="s">
        <v>52</v>
      </c>
      <c r="I5" s="69"/>
      <c r="J5" s="40" t="s">
        <v>54</v>
      </c>
      <c r="K5" s="40" t="s">
        <v>55</v>
      </c>
      <c r="L5" s="40" t="s">
        <v>53</v>
      </c>
      <c r="M5" s="57" t="s">
        <v>56</v>
      </c>
      <c r="N5" s="57" t="s">
        <v>39</v>
      </c>
      <c r="O5" s="57" t="s">
        <v>75</v>
      </c>
      <c r="P5" s="40" t="s">
        <v>119</v>
      </c>
      <c r="Q5" s="40" t="s">
        <v>118</v>
      </c>
      <c r="R5" s="40" t="s">
        <v>120</v>
      </c>
    </row>
    <row r="6" spans="1:18" ht="24" customHeight="1">
      <c r="A6" s="55">
        <v>1</v>
      </c>
      <c r="B6" s="70" t="s">
        <v>57</v>
      </c>
      <c r="C6" s="37">
        <v>725</v>
      </c>
      <c r="D6" s="71">
        <f t="shared" ref="D6:D12" si="0">R6/12</f>
        <v>0</v>
      </c>
      <c r="E6" s="71">
        <f t="shared" ref="E6:E12" si="1">N6/12</f>
        <v>17.044133432132622</v>
      </c>
      <c r="F6" s="71">
        <f>'IV(IWC2021-22)'!F6*1.04</f>
        <v>20.2736488448</v>
      </c>
      <c r="G6" s="71">
        <f t="shared" ref="G6:G12" ca="1" si="2">(P6+R6)/6</f>
        <v>93.984584573770306</v>
      </c>
      <c r="H6" s="71">
        <f t="shared" ref="H6:H12" ca="1" si="3">D6+E6+F6+G6</f>
        <v>131.30236685070292</v>
      </c>
      <c r="I6" s="72"/>
      <c r="J6" s="76">
        <f>'1(2022-23)'!G6*$K$1</f>
        <v>0</v>
      </c>
      <c r="K6" s="76">
        <f>'1(2022-23)'!F6*$K$1</f>
        <v>18.258140000000001</v>
      </c>
      <c r="L6" s="76">
        <f t="shared" ref="L6:L12" ca="1" si="4">H6*$K$1</f>
        <v>15.493679288382944</v>
      </c>
      <c r="M6" s="76">
        <f>'Annexure ii (Dep)'!F5</f>
        <v>20.62</v>
      </c>
      <c r="N6" s="76">
        <f>' Annexure iii O&amp;M '!F5</f>
        <v>204.52960118559147</v>
      </c>
      <c r="O6" s="76">
        <f>'IV(IWC2021-22)'!O6*(1+$P$1)*1.15</f>
        <v>305.00608696864737</v>
      </c>
      <c r="P6" s="76">
        <f ca="1">J6+K6+L6+M6+N6+O6</f>
        <v>563.90750744262186</v>
      </c>
      <c r="Q6" s="76"/>
      <c r="R6" s="77"/>
    </row>
    <row r="7" spans="1:18" ht="24" customHeight="1">
      <c r="A7" s="55">
        <v>2</v>
      </c>
      <c r="B7" s="70" t="s">
        <v>68</v>
      </c>
      <c r="C7" s="37">
        <v>90</v>
      </c>
      <c r="D7" s="71">
        <f t="shared" si="0"/>
        <v>0</v>
      </c>
      <c r="E7" s="71">
        <f t="shared" si="1"/>
        <v>1.8568414560798427</v>
      </c>
      <c r="F7" s="71">
        <f>'IV(IWC2021-22)'!F7*1.04</f>
        <v>3.2990011392</v>
      </c>
      <c r="G7" s="71">
        <f t="shared" ca="1" si="2"/>
        <v>11.356407769890689</v>
      </c>
      <c r="H7" s="71">
        <f t="shared" ca="1" si="3"/>
        <v>16.51225036517053</v>
      </c>
      <c r="I7" s="72"/>
      <c r="J7" s="76">
        <f>'1(2022-23)'!G7*$K$1</f>
        <v>0</v>
      </c>
      <c r="K7" s="76">
        <f>'1(2022-23)'!F7*$K$1</f>
        <v>2.463161035625518</v>
      </c>
      <c r="L7" s="76">
        <f t="shared" ca="1" si="4"/>
        <v>1.9484455430901224</v>
      </c>
      <c r="M7" s="76">
        <f>'Annexure ii (Dep)'!F6</f>
        <v>3.5819179784589887</v>
      </c>
      <c r="N7" s="76">
        <f>' Annexure iii O&amp;M '!F6</f>
        <v>22.282097472958114</v>
      </c>
      <c r="O7" s="76">
        <f>'IV(IWC2021-22)'!O7*(1+$P$1)*1.15</f>
        <v>37.862824589211399</v>
      </c>
      <c r="P7" s="76">
        <f t="shared" ref="P7:P12" ca="1" si="5">J7+K7+L7+M7+N7+O7</f>
        <v>68.138446619344137</v>
      </c>
      <c r="Q7" s="76"/>
      <c r="R7" s="77"/>
    </row>
    <row r="8" spans="1:18" ht="24" customHeight="1">
      <c r="A8" s="55">
        <v>3</v>
      </c>
      <c r="B8" s="70" t="s">
        <v>58</v>
      </c>
      <c r="C8" s="37">
        <v>770</v>
      </c>
      <c r="D8" s="71">
        <f t="shared" si="0"/>
        <v>0</v>
      </c>
      <c r="E8" s="71">
        <f t="shared" si="1"/>
        <v>14.0585156657366</v>
      </c>
      <c r="F8" s="71">
        <f>'IV(IWC2021-22)'!F8*1.04</f>
        <v>27.444881817600006</v>
      </c>
      <c r="G8" s="71">
        <f t="shared" ca="1" si="2"/>
        <v>93.807495436097568</v>
      </c>
      <c r="H8" s="71">
        <f t="shared" ca="1" si="3"/>
        <v>135.31089291943417</v>
      </c>
      <c r="I8" s="72"/>
      <c r="J8" s="76">
        <f>'1(2022-23)'!G8*$K$1</f>
        <v>0</v>
      </c>
      <c r="K8" s="76">
        <f>'1(2022-23)'!F8*$K$1</f>
        <v>22.148599999999991</v>
      </c>
      <c r="L8" s="76">
        <f t="shared" ca="1" si="4"/>
        <v>15.96668536449323</v>
      </c>
      <c r="M8" s="76">
        <f>'Annexure ii (Dep)'!F7</f>
        <v>32.090000000000003</v>
      </c>
      <c r="N8" s="76">
        <f>' Annexure iii O&amp;M '!F7</f>
        <v>168.7021879888392</v>
      </c>
      <c r="O8" s="76">
        <f>'IV(IWC2021-22)'!O8*(1+$P$1)*1.15</f>
        <v>323.93749926325307</v>
      </c>
      <c r="P8" s="76">
        <f t="shared" ca="1" si="5"/>
        <v>562.84497261658544</v>
      </c>
      <c r="Q8" s="76"/>
      <c r="R8" s="77"/>
    </row>
    <row r="9" spans="1:18" ht="24" customHeight="1">
      <c r="A9" s="55">
        <v>4</v>
      </c>
      <c r="B9" s="70" t="s">
        <v>65</v>
      </c>
      <c r="C9" s="40">
        <v>20</v>
      </c>
      <c r="D9" s="71">
        <f t="shared" si="0"/>
        <v>0</v>
      </c>
      <c r="E9" s="71">
        <f t="shared" si="1"/>
        <v>0.78832900109137416</v>
      </c>
      <c r="F9" s="71">
        <f>'IV(IWC2021-22)'!F9*1.04</f>
        <v>1.2400500736000004</v>
      </c>
      <c r="G9" s="71">
        <f t="shared" ca="1" si="2"/>
        <v>3.7503844095661609</v>
      </c>
      <c r="H9" s="71">
        <f t="shared" ca="1" si="3"/>
        <v>5.7787634842575351</v>
      </c>
      <c r="I9" s="72"/>
      <c r="J9" s="76">
        <f>'1(2022-23)'!G9*$K$1</f>
        <v>0.33169799999999999</v>
      </c>
      <c r="K9" s="76">
        <f>'1(2022-23)'!F9*$K$1</f>
        <v>2.0064719999999996</v>
      </c>
      <c r="L9" s="76">
        <f t="shared" ca="1" si="4"/>
        <v>0.68189409114238908</v>
      </c>
      <c r="M9" s="76">
        <f>'Annexure ii (Dep)'!F8</f>
        <v>1.6083333333333334</v>
      </c>
      <c r="N9" s="76">
        <f>' Annexure iii O&amp;M '!F8</f>
        <v>9.4599480130964899</v>
      </c>
      <c r="O9" s="76">
        <f>'IV(IWC2021-22)'!O9*(1+$P$1)*1.15</f>
        <v>8.4139610198247539</v>
      </c>
      <c r="P9" s="76">
        <f t="shared" ca="1" si="5"/>
        <v>22.502306457396966</v>
      </c>
      <c r="Q9" s="76"/>
      <c r="R9" s="77"/>
    </row>
    <row r="10" spans="1:18" ht="24" customHeight="1">
      <c r="A10" s="55">
        <v>5</v>
      </c>
      <c r="B10" s="70" t="s">
        <v>66</v>
      </c>
      <c r="C10" s="40">
        <v>1</v>
      </c>
      <c r="D10" s="71">
        <f t="shared" si="0"/>
        <v>0</v>
      </c>
      <c r="E10" s="71">
        <f t="shared" si="1"/>
        <v>0.12113587146188914</v>
      </c>
      <c r="F10" s="71">
        <f>'IV(IWC2021-22)'!F10*1.04</f>
        <v>7.0191513600000005E-2</v>
      </c>
      <c r="G10" s="71">
        <f t="shared" ca="1" si="2"/>
        <v>0.37043470643486892</v>
      </c>
      <c r="H10" s="71">
        <f t="shared" ca="1" si="3"/>
        <v>0.56176209149675804</v>
      </c>
      <c r="I10" s="72"/>
      <c r="J10" s="76">
        <f>'1(2022-23)'!G10*$K$1</f>
        <v>7.5993934426229523E-2</v>
      </c>
      <c r="K10" s="76">
        <f>'1(2022-23)'!F10*$K$1</f>
        <v>0.12566999999999998</v>
      </c>
      <c r="L10" s="76">
        <f t="shared" ca="1" si="4"/>
        <v>6.628792679661745E-2</v>
      </c>
      <c r="M10" s="76">
        <f>'Annexure ii (Dep)'!F9</f>
        <v>8.0327868852459017E-2</v>
      </c>
      <c r="N10" s="76">
        <f>' Annexure iii O&amp;M '!F9</f>
        <v>1.4536304575426697</v>
      </c>
      <c r="O10" s="76">
        <f>'IV(IWC2021-22)'!O10*(1+$P$1)*1.15</f>
        <v>0.4206980509912378</v>
      </c>
      <c r="P10" s="76">
        <f t="shared" ca="1" si="5"/>
        <v>2.2226082386092134</v>
      </c>
      <c r="Q10" s="76"/>
      <c r="R10" s="77"/>
    </row>
    <row r="11" spans="1:18" ht="24" customHeight="1">
      <c r="A11" s="55">
        <v>6</v>
      </c>
      <c r="B11" s="70" t="s">
        <v>59</v>
      </c>
      <c r="C11" s="40">
        <v>1260</v>
      </c>
      <c r="D11" s="71">
        <f t="shared" si="0"/>
        <v>270.05328000000003</v>
      </c>
      <c r="E11" s="71">
        <f t="shared" si="1"/>
        <v>59.671581495234271</v>
      </c>
      <c r="F11" s="71">
        <f>'IV(IWC2021-22)'!F11*1.04</f>
        <v>64.903752908800001</v>
      </c>
      <c r="G11" s="71">
        <f t="shared" ca="1" si="2"/>
        <v>776.94799292045445</v>
      </c>
      <c r="H11" s="71">
        <f t="shared" ca="1" si="3"/>
        <v>1171.5766073244888</v>
      </c>
      <c r="I11" s="72"/>
      <c r="J11" s="76">
        <f>'1(2022-23)'!G11*$K$1</f>
        <v>0</v>
      </c>
      <c r="K11" s="76">
        <f>'1(2022-23)'!F11*$K$1</f>
        <v>36.66403566666667</v>
      </c>
      <c r="L11" s="76">
        <f t="shared" ca="1" si="4"/>
        <v>138.24603966428967</v>
      </c>
      <c r="M11" s="76">
        <f>'Annexure ii (Dep)'!F10</f>
        <v>0</v>
      </c>
      <c r="N11" s="76">
        <f>' Annexure iii O&amp;M '!F10</f>
        <v>716.05897794281123</v>
      </c>
      <c r="O11" s="76">
        <f>'IV(IWC2021-22)'!O11*(1+$P$1)*1.15</f>
        <v>530.07954424895956</v>
      </c>
      <c r="P11" s="76">
        <f t="shared" ca="1" si="5"/>
        <v>1421.0485975227271</v>
      </c>
      <c r="Q11" s="71">
        <v>3.67</v>
      </c>
      <c r="R11" s="77">
        <f>(C11*24*365*0.8/1000)*Q11/10</f>
        <v>3240.6393600000001</v>
      </c>
    </row>
    <row r="12" spans="1:18" ht="24" customHeight="1">
      <c r="A12" s="55">
        <v>7</v>
      </c>
      <c r="B12" s="70" t="s">
        <v>20</v>
      </c>
      <c r="C12" s="40">
        <v>420</v>
      </c>
      <c r="D12" s="71">
        <f t="shared" si="0"/>
        <v>94.923360000000002</v>
      </c>
      <c r="E12" s="71">
        <f t="shared" si="1"/>
        <v>19.890096083671853</v>
      </c>
      <c r="F12" s="71">
        <f>'IV(IWC2021-22)'!F12*1.04</f>
        <v>56.82003025920001</v>
      </c>
      <c r="G12" s="71">
        <f t="shared" ca="1" si="2"/>
        <v>275.01875651289373</v>
      </c>
      <c r="H12" s="71">
        <f t="shared" ca="1" si="3"/>
        <v>446.65224285576562</v>
      </c>
      <c r="I12" s="72"/>
      <c r="J12" s="76">
        <f>'1(2022-23)'!G12*$K$1</f>
        <v>0</v>
      </c>
      <c r="K12" s="76">
        <f>'1(2022-23)'!F12*$K$1</f>
        <v>27.722919999999977</v>
      </c>
      <c r="L12" s="76">
        <f t="shared" ca="1" si="4"/>
        <v>52.704964656980337</v>
      </c>
      <c r="M12" s="76">
        <f>'Annexure ii (Dep)'!F11</f>
        <v>15.23</v>
      </c>
      <c r="N12" s="76">
        <f>' Annexure iii O&amp;M '!F11</f>
        <v>238.68115300406222</v>
      </c>
      <c r="O12" s="76">
        <f>'IV(IWC2021-22)'!O12*(1+$P$1)*1.15</f>
        <v>176.69318141631985</v>
      </c>
      <c r="P12" s="76">
        <f t="shared" ca="1" si="5"/>
        <v>511.03221907736236</v>
      </c>
      <c r="Q12" s="71">
        <v>3.87</v>
      </c>
      <c r="R12" s="77">
        <f>(C12*24*365*0.8/1000)*Q12/10</f>
        <v>1139.08032</v>
      </c>
    </row>
    <row r="13" spans="1:18" ht="24" customHeight="1">
      <c r="A13" s="55">
        <v>8</v>
      </c>
      <c r="B13" s="70" t="s">
        <v>123</v>
      </c>
      <c r="C13" s="40">
        <v>420</v>
      </c>
      <c r="D13" s="71">
        <f t="shared" ref="D13:D18" si="6">R13/12</f>
        <v>94.923360000000002</v>
      </c>
      <c r="E13" s="71">
        <f t="shared" ref="E13:E18" si="7">N13/12</f>
        <v>19.890096083671853</v>
      </c>
      <c r="F13" s="71">
        <f>'IV(IWC2021-22)'!F13*1.04</f>
        <v>29.889886208000004</v>
      </c>
      <c r="G13" s="71">
        <f t="shared" ref="G13:G18" ca="1" si="8">(P13+R13)/6</f>
        <v>243.96776853745948</v>
      </c>
      <c r="H13" s="71">
        <f t="shared" ref="H13:H18" ca="1" si="9">D13+E13+F13+G13</f>
        <v>388.67111082913129</v>
      </c>
      <c r="I13" s="72"/>
      <c r="J13" s="76">
        <f>'1(2022-23)'!G13*$K$1</f>
        <v>0</v>
      </c>
      <c r="K13" s="76">
        <f>'1(2022-23)'!F13*$K$1</f>
        <v>32.328375714285677</v>
      </c>
      <c r="L13" s="76">
        <f t="shared" ref="L13:L18" ca="1" si="10">H13*$K$1</f>
        <v>45.863191077837492</v>
      </c>
      <c r="M13" s="76">
        <f>'Annexure ii (Dep)'!F12</f>
        <v>7.8535714285714286</v>
      </c>
      <c r="N13" s="76">
        <f>' Annexure iii O&amp;M '!F12</f>
        <v>238.68115300406222</v>
      </c>
      <c r="O13" s="76"/>
      <c r="P13" s="76">
        <f t="shared" ref="P13:P18" ca="1" si="11">J13+K13+L13+M13+N13+O13</f>
        <v>324.72629122475684</v>
      </c>
      <c r="Q13" s="71">
        <v>3.87</v>
      </c>
      <c r="R13" s="77">
        <f t="shared" ref="R13:R18" si="12">(C13*24*365*0.8/1000)*Q13/10</f>
        <v>1139.08032</v>
      </c>
    </row>
    <row r="14" spans="1:18" ht="24" customHeight="1">
      <c r="A14" s="55">
        <v>9</v>
      </c>
      <c r="B14" s="70" t="s">
        <v>124</v>
      </c>
      <c r="C14" s="40">
        <v>500</v>
      </c>
      <c r="D14" s="71">
        <f t="shared" si="6"/>
        <v>91.98</v>
      </c>
      <c r="E14" s="71">
        <f t="shared" si="7"/>
        <v>15.852587632877089</v>
      </c>
      <c r="F14" s="71">
        <f>'IV(IWC2021-22)'!F14*1.04</f>
        <v>35.809370521600002</v>
      </c>
      <c r="G14" s="71">
        <f t="shared" ca="1" si="8"/>
        <v>237.52778261193814</v>
      </c>
      <c r="H14" s="71">
        <f t="shared" ca="1" si="9"/>
        <v>381.1697407664152</v>
      </c>
      <c r="I14" s="72"/>
      <c r="J14" s="76">
        <f>'1(2022-23)'!G14*$K$1</f>
        <v>0</v>
      </c>
      <c r="K14" s="76">
        <f>'1(2022-23)'!F14*$K$1</f>
        <v>62.227614666666639</v>
      </c>
      <c r="L14" s="76">
        <f t="shared" ca="1" si="10"/>
        <v>44.978029410436989</v>
      </c>
      <c r="M14" s="76">
        <f>'Annexure ii (Dep)'!F13</f>
        <v>23.97</v>
      </c>
      <c r="N14" s="76">
        <f>' Annexure iii O&amp;M '!F13</f>
        <v>190.23105159452507</v>
      </c>
      <c r="O14" s="76"/>
      <c r="P14" s="76">
        <f t="shared" ca="1" si="11"/>
        <v>321.40669567162871</v>
      </c>
      <c r="Q14" s="71">
        <v>3.15</v>
      </c>
      <c r="R14" s="77">
        <f t="shared" si="12"/>
        <v>1103.76</v>
      </c>
    </row>
    <row r="15" spans="1:18" ht="24" customHeight="1">
      <c r="A15" s="55">
        <v>10</v>
      </c>
      <c r="B15" s="70" t="s">
        <v>125</v>
      </c>
      <c r="C15" s="40">
        <v>210</v>
      </c>
      <c r="D15" s="71">
        <f t="shared" si="6"/>
        <v>47.461680000000001</v>
      </c>
      <c r="E15" s="71">
        <f t="shared" si="7"/>
        <v>9.9450480418359266</v>
      </c>
      <c r="F15" s="71">
        <f>'IV(IWC2021-22)'!F15*1.04</f>
        <v>18.670942617600002</v>
      </c>
      <c r="G15" s="71">
        <f t="shared" ca="1" si="8"/>
        <v>126.75714546750163</v>
      </c>
      <c r="H15" s="71">
        <f t="shared" ca="1" si="9"/>
        <v>202.83481612693754</v>
      </c>
      <c r="I15" s="72"/>
      <c r="J15" s="76">
        <f>'1(2022-23)'!G15*$K$1</f>
        <v>0</v>
      </c>
      <c r="K15" s="76">
        <f>'1(2022-23)'!F15*$K$1</f>
        <v>35.157628000000017</v>
      </c>
      <c r="L15" s="76">
        <f t="shared" ca="1" si="10"/>
        <v>23.934508302978628</v>
      </c>
      <c r="M15" s="76">
        <f>'Annexure ii (Dep)'!F14</f>
        <v>12.57</v>
      </c>
      <c r="N15" s="76">
        <f>' Annexure iii O&amp;M '!F14</f>
        <v>119.34057650203111</v>
      </c>
      <c r="O15" s="76"/>
      <c r="P15" s="76">
        <f t="shared" ca="1" si="11"/>
        <v>191.00271280500976</v>
      </c>
      <c r="Q15" s="71">
        <v>3.87</v>
      </c>
      <c r="R15" s="77">
        <f t="shared" si="12"/>
        <v>569.54016000000001</v>
      </c>
    </row>
    <row r="16" spans="1:18" ht="24" customHeight="1">
      <c r="A16" s="55">
        <v>11</v>
      </c>
      <c r="B16" s="70" t="s">
        <v>126</v>
      </c>
      <c r="C16" s="40">
        <v>50</v>
      </c>
      <c r="D16" s="71">
        <f t="shared" si="6"/>
        <v>0</v>
      </c>
      <c r="E16" s="71">
        <f t="shared" si="7"/>
        <v>0.76587499355019018</v>
      </c>
      <c r="F16" s="71">
        <f>'IV(IWC2021-22)'!F16*1.04</f>
        <v>3.3340968960000006</v>
      </c>
      <c r="G16" s="71">
        <f t="shared" ca="1" si="8"/>
        <v>8.4731525316053276</v>
      </c>
      <c r="H16" s="71">
        <f t="shared" ca="1" si="9"/>
        <v>12.573124421155519</v>
      </c>
      <c r="I16" s="72"/>
      <c r="J16" s="76">
        <f>'1(2022-23)'!G16*$K$1</f>
        <v>19.696066445333333</v>
      </c>
      <c r="K16" s="76">
        <f>'1(2022-23)'!F16*$K$1</f>
        <v>10.438720139999999</v>
      </c>
      <c r="L16" s="76">
        <f t="shared" ca="1" si="10"/>
        <v>1.4836286816963511</v>
      </c>
      <c r="M16" s="76">
        <f>'Annexure ii (Dep)'!F15</f>
        <v>10.029999999999999</v>
      </c>
      <c r="N16" s="76">
        <f>' Annexure iii O&amp;M '!F15</f>
        <v>9.1904999226022817</v>
      </c>
      <c r="O16" s="76"/>
      <c r="P16" s="76">
        <f t="shared" ca="1" si="11"/>
        <v>50.838915189631962</v>
      </c>
      <c r="Q16" s="71"/>
      <c r="R16" s="77">
        <f t="shared" si="12"/>
        <v>0</v>
      </c>
    </row>
    <row r="17" spans="1:18" ht="24" customHeight="1">
      <c r="A17" s="55">
        <v>12</v>
      </c>
      <c r="B17" s="70" t="s">
        <v>127</v>
      </c>
      <c r="C17" s="40">
        <v>600</v>
      </c>
      <c r="D17" s="71">
        <f t="shared" si="6"/>
        <v>127.54560000000002</v>
      </c>
      <c r="E17" s="71">
        <f t="shared" si="7"/>
        <v>11.884914369892348</v>
      </c>
      <c r="F17" s="71">
        <f>'IV(IWC2021-22)'!F17*1.04</f>
        <v>54.589649920000006</v>
      </c>
      <c r="G17" s="71">
        <f t="shared" ca="1" si="8"/>
        <v>426.75556269719749</v>
      </c>
      <c r="H17" s="71">
        <f t="shared" ca="1" si="9"/>
        <v>620.77572698708991</v>
      </c>
      <c r="I17" s="72"/>
      <c r="J17" s="76">
        <f>'1(2022-23)'!G17*$K$1</f>
        <v>268.59575595999996</v>
      </c>
      <c r="K17" s="76">
        <f>'1(2022-23)'!F17*$K$1</f>
        <v>171.80965199999997</v>
      </c>
      <c r="L17" s="76">
        <f t="shared" ca="1" si="10"/>
        <v>73.251535784476602</v>
      </c>
      <c r="M17" s="76">
        <f>'Annexure ii (Dep)'!F16</f>
        <v>373.71026000000001</v>
      </c>
      <c r="N17" s="76">
        <f>' Annexure iii O&amp;M '!F16</f>
        <v>142.61897243870817</v>
      </c>
      <c r="O17" s="76"/>
      <c r="P17" s="76">
        <f t="shared" ca="1" si="11"/>
        <v>1029.9861761831846</v>
      </c>
      <c r="Q17" s="71">
        <v>3.64</v>
      </c>
      <c r="R17" s="77">
        <f t="shared" si="12"/>
        <v>1530.5472000000002</v>
      </c>
    </row>
    <row r="18" spans="1:18" ht="24" customHeight="1">
      <c r="A18" s="55">
        <v>13</v>
      </c>
      <c r="B18" s="70" t="s">
        <v>130</v>
      </c>
      <c r="C18" s="40">
        <v>800</v>
      </c>
      <c r="D18" s="71">
        <f t="shared" si="6"/>
        <v>136.42239999999998</v>
      </c>
      <c r="E18" s="71">
        <f t="shared" si="7"/>
        <v>15.846552493189797</v>
      </c>
      <c r="F18" s="71">
        <f>'IV(IWC2021-22)'!F18*1.04</f>
        <v>69.111644159999997</v>
      </c>
      <c r="G18" s="71">
        <f t="shared" ca="1" si="8"/>
        <v>496.65753373154604</v>
      </c>
      <c r="H18" s="71">
        <f t="shared" ca="1" si="9"/>
        <v>718.03813038473584</v>
      </c>
      <c r="I18" s="72"/>
      <c r="J18" s="76">
        <f>'1(2022-23)'!G18*$K$1</f>
        <v>377.41592108560002</v>
      </c>
      <c r="K18" s="76">
        <f>'1(2022-23)'!F18*$K$1</f>
        <v>217.49335199999999</v>
      </c>
      <c r="L18" s="76">
        <f t="shared" ca="1" si="10"/>
        <v>84.72849938539882</v>
      </c>
      <c r="M18" s="76">
        <f>'Annexure ii (Dep)'!F17</f>
        <v>473.08</v>
      </c>
      <c r="N18" s="76">
        <f>' Annexure iii O&amp;M '!F17</f>
        <v>190.15862991827757</v>
      </c>
      <c r="O18" s="76"/>
      <c r="P18" s="76">
        <f t="shared" ca="1" si="11"/>
        <v>1342.8764023892763</v>
      </c>
      <c r="Q18" s="71">
        <v>2.92</v>
      </c>
      <c r="R18" s="77">
        <f t="shared" si="12"/>
        <v>1637.0687999999998</v>
      </c>
    </row>
    <row r="19" spans="1:18" ht="24" customHeight="1">
      <c r="A19" s="55">
        <v>14</v>
      </c>
      <c r="B19" s="70" t="s">
        <v>137</v>
      </c>
      <c r="C19" s="40"/>
      <c r="D19" s="71">
        <f t="shared" ref="D19" si="13">R19/12</f>
        <v>0</v>
      </c>
      <c r="E19" s="71">
        <f t="shared" ref="E19" si="14">N19/12</f>
        <v>6.6736874999999998</v>
      </c>
      <c r="F19" s="71">
        <f>5338.95*1%</f>
        <v>53.389499999999998</v>
      </c>
      <c r="G19" s="71">
        <f t="shared" ref="G19" ca="1" si="15">(P19+R19)/6</f>
        <v>152.31341777677662</v>
      </c>
      <c r="H19" s="71">
        <f t="shared" ref="H19" ca="1" si="16">D19+E19+F19+G19</f>
        <v>212.37660527677662</v>
      </c>
      <c r="I19" s="72"/>
      <c r="J19" s="76">
        <f>'1(2022-23)'!G19*$K$1</f>
        <v>438.21268723799994</v>
      </c>
      <c r="K19" s="76">
        <f>'1(2022-23)'!F19*$K$1</f>
        <v>188.99882999999997</v>
      </c>
      <c r="L19" s="76">
        <f t="shared" ref="L19" ca="1" si="17">H19*$K$1</f>
        <v>25.060439422659638</v>
      </c>
      <c r="M19" s="76">
        <f>5338.95*3.4%</f>
        <v>181.52430000000001</v>
      </c>
      <c r="N19" s="76">
        <f>5338.95*1.5%</f>
        <v>80.084249999999997</v>
      </c>
      <c r="O19" s="76"/>
      <c r="P19" s="76">
        <f t="shared" ref="P19" ca="1" si="18">J19+K19+L19+M19+N19+O19</f>
        <v>913.88050666065965</v>
      </c>
      <c r="Q19" s="71"/>
      <c r="R19" s="77">
        <f t="shared" ref="R19" si="19">(C19*24*365*0.8/1000)*Q19/10</f>
        <v>0</v>
      </c>
    </row>
  </sheetData>
  <mergeCells count="2">
    <mergeCell ref="A2:H2"/>
    <mergeCell ref="A3:H3"/>
  </mergeCells>
  <phoneticPr fontId="2" type="noConversion"/>
  <printOptions horizontalCentered="1"/>
  <pageMargins left="0.62992125984251968" right="0.27559055118110237" top="0.6692913385826772" bottom="0.35433070866141736" header="0.43307086614173229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27"/>
  <sheetViews>
    <sheetView tabSelected="1" workbookViewId="0">
      <selection activeCell="L22" sqref="L22"/>
    </sheetView>
  </sheetViews>
  <sheetFormatPr defaultRowHeight="15"/>
  <cols>
    <col min="1" max="1" width="7" style="36" customWidth="1"/>
    <col min="2" max="2" width="22.42578125" style="32" customWidth="1"/>
    <col min="3" max="3" width="10.85546875" style="32" customWidth="1"/>
    <col min="4" max="5" width="10.7109375" style="36" customWidth="1"/>
    <col min="6" max="6" width="11.7109375" style="36" customWidth="1"/>
    <col min="7" max="8" width="11.140625" style="36" customWidth="1"/>
    <col min="9" max="16384" width="9.140625" style="32"/>
  </cols>
  <sheetData>
    <row r="1" spans="1:8" s="29" customFormat="1" ht="34.5" customHeight="1">
      <c r="A1" s="107" t="s">
        <v>136</v>
      </c>
      <c r="B1" s="107"/>
      <c r="C1" s="107"/>
      <c r="D1" s="107"/>
      <c r="E1" s="107"/>
      <c r="F1" s="107"/>
      <c r="G1" s="107"/>
      <c r="H1" s="107"/>
    </row>
    <row r="2" spans="1:8" s="29" customFormat="1" ht="18" hidden="1" customHeight="1">
      <c r="A2" s="30"/>
      <c r="B2" s="30" t="s">
        <v>72</v>
      </c>
      <c r="C2" s="30"/>
      <c r="D2" s="31" t="s">
        <v>71</v>
      </c>
      <c r="E2" s="31"/>
      <c r="F2" s="31">
        <v>0.11799999999999999</v>
      </c>
      <c r="G2" s="30"/>
      <c r="H2" s="30"/>
    </row>
    <row r="3" spans="1:8" s="29" customFormat="1" ht="23.25" customHeight="1">
      <c r="A3" s="79"/>
      <c r="B3" s="79"/>
      <c r="C3" s="79"/>
      <c r="D3" s="79"/>
      <c r="E3" s="79"/>
      <c r="F3" s="79"/>
      <c r="G3" s="83" t="s">
        <v>1</v>
      </c>
      <c r="H3" s="83"/>
    </row>
    <row r="4" spans="1:8" ht="33.75" customHeight="1">
      <c r="A4" s="41" t="s">
        <v>35</v>
      </c>
      <c r="B4" s="41" t="s">
        <v>38</v>
      </c>
      <c r="C4" s="41" t="s">
        <v>74</v>
      </c>
      <c r="D4" s="41" t="s">
        <v>90</v>
      </c>
      <c r="E4" s="41" t="s">
        <v>91</v>
      </c>
      <c r="F4" s="41" t="s">
        <v>92</v>
      </c>
      <c r="G4" s="41" t="s">
        <v>93</v>
      </c>
      <c r="H4" s="41" t="s">
        <v>94</v>
      </c>
    </row>
    <row r="5" spans="1:8" s="29" customFormat="1" ht="21.75" customHeight="1">
      <c r="A5" s="59">
        <v>1</v>
      </c>
      <c r="B5" s="53" t="s">
        <v>41</v>
      </c>
      <c r="C5" s="38">
        <v>725</v>
      </c>
      <c r="D5" s="46">
        <f ca="1">'FC(2019-20)'!F4</f>
        <v>227.3895511957997</v>
      </c>
      <c r="E5" s="46">
        <f ca="1">'FC(2020-21)'!F4</f>
        <v>236.82126754075674</v>
      </c>
      <c r="F5" s="46">
        <f ca="1">'FC(2021-22)'!F4</f>
        <v>247.04176191061879</v>
      </c>
      <c r="G5" s="46">
        <f ca="1">'FC(2022-23)'!F4</f>
        <v>258.90142047397444</v>
      </c>
      <c r="H5" s="46">
        <f ca="1">'FC(2023-24)'!F4</f>
        <v>270.91278254569249</v>
      </c>
    </row>
    <row r="6" spans="1:8" s="29" customFormat="1" ht="21.75" customHeight="1">
      <c r="A6" s="59">
        <v>2</v>
      </c>
      <c r="B6" s="53" t="s">
        <v>64</v>
      </c>
      <c r="C6" s="38">
        <v>90</v>
      </c>
      <c r="D6" s="46">
        <f ca="1">'FC(2019-20)'!F5</f>
        <v>27.283998834321828</v>
      </c>
      <c r="E6" s="46">
        <f ca="1">'FC(2020-21)'!F5</f>
        <v>28.159861432281726</v>
      </c>
      <c r="F6" s="46">
        <f ca="1">'FC(2021-22)'!F5</f>
        <v>29.122136587333465</v>
      </c>
      <c r="G6" s="46">
        <f ca="1">'FC(2022-23)'!F5</f>
        <v>30.275622030132745</v>
      </c>
      <c r="H6" s="46">
        <f ca="1">'FC(2023-24)'!F5</f>
        <v>31.43484891979972</v>
      </c>
    </row>
    <row r="7" spans="1:8" s="29" customFormat="1" ht="21.75" customHeight="1">
      <c r="A7" s="59">
        <v>3</v>
      </c>
      <c r="B7" s="53" t="s">
        <v>12</v>
      </c>
      <c r="C7" s="38">
        <v>770</v>
      </c>
      <c r="D7" s="46">
        <f ca="1">'FC(2019-20)'!F6</f>
        <v>217.80764946753138</v>
      </c>
      <c r="E7" s="46">
        <f ca="1">'FC(2020-21)'!F6</f>
        <v>223.88684348566747</v>
      </c>
      <c r="F7" s="46">
        <f ca="1">'FC(2021-22)'!F6</f>
        <v>230.62307034788574</v>
      </c>
      <c r="G7" s="46">
        <f ca="1">'FC(2022-23)'!F6</f>
        <v>238.90747335333242</v>
      </c>
      <c r="H7" s="46">
        <f ca="1">'FC(2023-24)'!F6</f>
        <v>247.14744165216283</v>
      </c>
    </row>
    <row r="8" spans="1:8" s="29" customFormat="1" ht="21.75" customHeight="1">
      <c r="A8" s="59">
        <v>4</v>
      </c>
      <c r="B8" s="53" t="s">
        <v>65</v>
      </c>
      <c r="C8" s="41">
        <v>20</v>
      </c>
      <c r="D8" s="46">
        <f ca="1">'FC(2019-20)'!F7</f>
        <v>12.895511618403138</v>
      </c>
      <c r="E8" s="46">
        <f ca="1">'FC(2020-21)'!F7</f>
        <v>13.248811817189145</v>
      </c>
      <c r="F8" s="46">
        <f ca="1">'FC(2021-22)'!F7</f>
        <v>13.638285442415754</v>
      </c>
      <c r="G8" s="46">
        <f ca="1">'FC(2022-23)'!F7</f>
        <v>14.088345437572212</v>
      </c>
      <c r="H8" s="46">
        <f ca="1">'FC(2023-24)'!F7</f>
        <v>14.558975642642025</v>
      </c>
    </row>
    <row r="9" spans="1:8" s="29" customFormat="1" ht="21.75" customHeight="1">
      <c r="A9" s="59">
        <v>5</v>
      </c>
      <c r="B9" s="53" t="s">
        <v>66</v>
      </c>
      <c r="C9" s="41">
        <v>1</v>
      </c>
      <c r="D9" s="46">
        <f ca="1">'FC(2019-20)'!F8</f>
        <v>1.5649409239091669</v>
      </c>
      <c r="E9" s="46">
        <f ca="1">'FC(2020-21)'!F8</f>
        <v>1.6379599504273645</v>
      </c>
      <c r="F9" s="46">
        <f ca="1">'FC(2021-22)'!F8</f>
        <v>1.7164615199175568</v>
      </c>
      <c r="G9" s="46">
        <f ca="1">'FC(2022-23)'!F8</f>
        <v>1.8019101876179757</v>
      </c>
      <c r="H9" s="46">
        <f ca="1">'FC(2023-24)'!F8</f>
        <v>1.8925652476064501</v>
      </c>
    </row>
    <row r="10" spans="1:8" s="29" customFormat="1" ht="21.75" customHeight="1">
      <c r="A10" s="59">
        <v>6</v>
      </c>
      <c r="B10" s="53" t="s">
        <v>19</v>
      </c>
      <c r="C10" s="41">
        <v>1260</v>
      </c>
      <c r="D10" s="46">
        <f ca="1">'FC(2019-20)'!F9</f>
        <v>815.15777663280232</v>
      </c>
      <c r="E10" s="46">
        <f ca="1">'FC(2020-21)'!F9</f>
        <v>851.31815074096073</v>
      </c>
      <c r="F10" s="46">
        <f ca="1">'FC(2021-22)'!F9</f>
        <v>890.20869674677238</v>
      </c>
      <c r="G10" s="46">
        <f ca="1">'FC(2022-23)'!F9</f>
        <v>890.9690532737676</v>
      </c>
      <c r="H10" s="46">
        <f ca="1">'FC(2023-24)'!F9</f>
        <v>940.96471512209826</v>
      </c>
    </row>
    <row r="11" spans="1:8" s="29" customFormat="1" ht="21.75" customHeight="1">
      <c r="A11" s="59">
        <v>7</v>
      </c>
      <c r="B11" s="53" t="s">
        <v>20</v>
      </c>
      <c r="C11" s="40">
        <v>420</v>
      </c>
      <c r="D11" s="46">
        <f ca="1">'FC(2019-20)'!F10</f>
        <v>294.95021699778664</v>
      </c>
      <c r="E11" s="46">
        <f ca="1">'FC(2020-21)'!F10</f>
        <v>306.99075073179569</v>
      </c>
      <c r="F11" s="46">
        <f ca="1">'FC(2021-22)'!F10</f>
        <v>319.94607933690673</v>
      </c>
      <c r="G11" s="46">
        <f ca="1">'FC(2022-23)'!F10</f>
        <v>334.33903766104254</v>
      </c>
      <c r="H11" s="46">
        <f ca="1">'FC(2023-24)'!F10</f>
        <v>349.34011863924735</v>
      </c>
    </row>
    <row r="12" spans="1:8" s="29" customFormat="1" ht="21.75" customHeight="1">
      <c r="A12" s="59">
        <v>8</v>
      </c>
      <c r="B12" s="53" t="s">
        <v>123</v>
      </c>
      <c r="C12" s="40">
        <v>420</v>
      </c>
      <c r="D12" s="46">
        <f ca="1">'FC(2019-20)'!F11</f>
        <v>284.03666056909697</v>
      </c>
      <c r="E12" s="46">
        <f ca="1">'FC(2020-21)'!F11</f>
        <v>296.68104037392015</v>
      </c>
      <c r="F12" s="46">
        <f ca="1">'FC(2021-22)'!F11</f>
        <v>310.22439824472116</v>
      </c>
      <c r="G12" s="46">
        <f ca="1">'FC(2022-23)'!F11</f>
        <v>324.72629122475684</v>
      </c>
      <c r="H12" s="46">
        <f ca="1">'FC(2023-24)'!F11</f>
        <v>340.25022554094335</v>
      </c>
    </row>
    <row r="13" spans="1:8" s="29" customFormat="1" ht="21.75" customHeight="1">
      <c r="A13" s="59">
        <v>9</v>
      </c>
      <c r="B13" s="53" t="s">
        <v>124</v>
      </c>
      <c r="C13" s="40">
        <v>500</v>
      </c>
      <c r="D13" s="46">
        <f ca="1">'FC(2019-20)'!F12</f>
        <v>446.89993350724239</v>
      </c>
      <c r="E13" s="46">
        <f ca="1">'FC(2020-21)'!F12</f>
        <v>303.20604130407844</v>
      </c>
      <c r="F13" s="46">
        <f ca="1">'FC(2021-22)'!F12</f>
        <v>311.92484127720797</v>
      </c>
      <c r="G13" s="46">
        <f ca="1">'FC(2022-23)'!F12</f>
        <v>321.40669567162871</v>
      </c>
      <c r="H13" s="46">
        <f ca="1">'FC(2023-24)'!F12</f>
        <v>331.70534604499784</v>
      </c>
    </row>
    <row r="14" spans="1:8" s="29" customFormat="1" ht="21.75" customHeight="1">
      <c r="A14" s="59">
        <v>10</v>
      </c>
      <c r="B14" s="53" t="s">
        <v>125</v>
      </c>
      <c r="C14" s="40">
        <v>210</v>
      </c>
      <c r="D14" s="46">
        <f ca="1">'FC(2019-20)'!F13</f>
        <v>271.49176872628362</v>
      </c>
      <c r="E14" s="46">
        <f ca="1">'FC(2020-21)'!F13</f>
        <v>267.45627271467174</v>
      </c>
      <c r="F14" s="46">
        <f ca="1">'FC(2021-22)'!F13</f>
        <v>184.77943817513759</v>
      </c>
      <c r="G14" s="46">
        <f ca="1">'FC(2022-23)'!F13</f>
        <v>191.00271280500976</v>
      </c>
      <c r="H14" s="46">
        <f ca="1">'FC(2023-24)'!F13</f>
        <v>197.74225979852284</v>
      </c>
    </row>
    <row r="15" spans="1:8" s="29" customFormat="1" ht="21.75" customHeight="1">
      <c r="A15" s="59">
        <v>11</v>
      </c>
      <c r="B15" s="53" t="s">
        <v>126</v>
      </c>
      <c r="C15" s="40">
        <v>50</v>
      </c>
      <c r="D15" s="46">
        <f ca="1">'FC(2019-20)'!F14</f>
        <v>49.63789891554746</v>
      </c>
      <c r="E15" s="46">
        <f ca="1">'FC(2020-21)'!F14</f>
        <v>52.080965120901794</v>
      </c>
      <c r="F15" s="46">
        <f ca="1">'FC(2021-22)'!F14</f>
        <v>51.441291427121314</v>
      </c>
      <c r="G15" s="46">
        <f ca="1">'FC(2022-23)'!F14</f>
        <v>50.838915189631962</v>
      </c>
      <c r="H15" s="46">
        <f ca="1">'FC(2023-24)'!F14</f>
        <v>50.276297286836368</v>
      </c>
    </row>
    <row r="16" spans="1:8" s="29" customFormat="1" ht="21.75" customHeight="1">
      <c r="A16" s="59">
        <v>12</v>
      </c>
      <c r="B16" s="53" t="s">
        <v>127</v>
      </c>
      <c r="C16" s="40">
        <v>600</v>
      </c>
      <c r="D16" s="46">
        <f ca="1">'FC(2019-20)'!F15</f>
        <v>1138.4350219870792</v>
      </c>
      <c r="E16" s="46">
        <f ca="1">'FC(2020-21)'!F15</f>
        <v>1101.7300063609691</v>
      </c>
      <c r="F16" s="46">
        <f ca="1">'FC(2021-22)'!F15</f>
        <v>1065.5684448882864</v>
      </c>
      <c r="G16" s="46">
        <f ca="1">'FC(2022-23)'!F15</f>
        <v>1029.9861761831846</v>
      </c>
      <c r="H16" s="46">
        <f ca="1">'FC(2023-24)'!F15</f>
        <v>995.02140867413027</v>
      </c>
    </row>
    <row r="17" spans="1:8" s="29" customFormat="1" ht="21.75" customHeight="1">
      <c r="A17" s="59">
        <v>13</v>
      </c>
      <c r="B17" s="53" t="s">
        <v>134</v>
      </c>
      <c r="C17" s="40">
        <v>800</v>
      </c>
      <c r="D17" s="46">
        <f ca="1">'FC(2019-20)'!F16</f>
        <v>477.72536616829916</v>
      </c>
      <c r="E17" s="46">
        <f ca="1">'FC(2020-21)'!F16</f>
        <v>1432.5016196714087</v>
      </c>
      <c r="F17" s="46">
        <f ca="1">'FC(2021-22)'!F16</f>
        <v>1387.3031429940161</v>
      </c>
      <c r="G17" s="46">
        <f ca="1">'FC(2022-23)'!F16</f>
        <v>1342.8764023892763</v>
      </c>
      <c r="H17" s="46">
        <f ca="1">'FC(2023-24)'!F16</f>
        <v>1299.272316257114</v>
      </c>
    </row>
    <row r="18" spans="1:8" s="29" customFormat="1" ht="21.75" customHeight="1">
      <c r="A18" s="59">
        <v>14</v>
      </c>
      <c r="B18" s="53" t="s">
        <v>140</v>
      </c>
      <c r="C18" s="40">
        <v>960</v>
      </c>
      <c r="D18" s="46"/>
      <c r="E18" s="46"/>
      <c r="F18" s="46">
        <f ca="1">'FC(2021-22)'!F17</f>
        <v>119.17372369559675</v>
      </c>
      <c r="G18" s="46">
        <f ca="1">'FC(2022-23)'!F17</f>
        <v>612.29993946264199</v>
      </c>
      <c r="H18" s="46">
        <f ca="1">'FC(2023-24)'!F17</f>
        <v>890.24887801729005</v>
      </c>
    </row>
    <row r="19" spans="1:8" s="29" customFormat="1" ht="33.75" customHeight="1">
      <c r="A19" s="59"/>
      <c r="B19" s="53" t="s">
        <v>42</v>
      </c>
      <c r="C19" s="41">
        <f>84+57.6</f>
        <v>141.6</v>
      </c>
      <c r="D19" s="46">
        <f>'FC(2019-20)'!F17</f>
        <v>57.329664000000001</v>
      </c>
      <c r="E19" s="46">
        <f>'FC(2020-21)'!F17</f>
        <v>61.1363536896</v>
      </c>
      <c r="F19" s="46">
        <f>'FC(2021-22)'!F18</f>
        <v>65.195807574589438</v>
      </c>
      <c r="G19" s="46">
        <f>'FC(2022-23)'!F18</f>
        <v>69.524809197542183</v>
      </c>
      <c r="H19" s="46">
        <f>'FC(2023-24)'!F18</f>
        <v>74.141256528258978</v>
      </c>
    </row>
    <row r="20" spans="1:8" s="29" customFormat="1" ht="44.25" customHeight="1">
      <c r="A20" s="59"/>
      <c r="B20" s="53" t="s">
        <v>70</v>
      </c>
      <c r="C20" s="53"/>
      <c r="D20" s="46">
        <f>'FC(2019-20)'!F18</f>
        <v>991.24226079999994</v>
      </c>
      <c r="E20" s="46">
        <f>'FC(2020-21)'!F18</f>
        <v>1057.06074691712</v>
      </c>
      <c r="F20" s="46">
        <f>'FC(2021-22)'!F19</f>
        <v>1127.2495805124167</v>
      </c>
      <c r="G20" s="46">
        <f>'FC(2022-23)'!F19</f>
        <v>1382.4137955572073</v>
      </c>
      <c r="H20" s="46">
        <f>'FC(2023-24)'!F19</f>
        <v>1474.2060715822058</v>
      </c>
    </row>
    <row r="21" spans="1:8" s="29" customFormat="1" ht="44.25" customHeight="1">
      <c r="A21" s="59"/>
      <c r="B21" s="53" t="s">
        <v>145</v>
      </c>
      <c r="C21" s="53"/>
      <c r="D21" s="46">
        <v>223.75</v>
      </c>
      <c r="E21" s="46"/>
      <c r="F21" s="46"/>
      <c r="G21" s="46"/>
      <c r="H21" s="46"/>
    </row>
    <row r="22" spans="1:8" s="29" customFormat="1" ht="44.25" customHeight="1">
      <c r="A22" s="59"/>
      <c r="B22" s="53" t="s">
        <v>150</v>
      </c>
      <c r="C22" s="53"/>
      <c r="D22" s="46">
        <v>353</v>
      </c>
      <c r="E22" s="46"/>
      <c r="F22" s="46"/>
      <c r="G22" s="46"/>
      <c r="H22" s="46"/>
    </row>
    <row r="23" spans="1:8" s="29" customFormat="1" ht="30.75" customHeight="1">
      <c r="A23" s="59"/>
      <c r="B23" s="80" t="s">
        <v>21</v>
      </c>
      <c r="C23" s="80">
        <f t="shared" ref="C23" si="0">SUM(C5:C20)</f>
        <v>6967.6</v>
      </c>
      <c r="D23" s="62">
        <f ca="1">SUM(D5:D22)</f>
        <v>5890.5982203441017</v>
      </c>
      <c r="E23" s="62">
        <f t="shared" ref="E23:H23" ca="1" si="1">SUM(E5:E21)</f>
        <v>6233.9166918517494</v>
      </c>
      <c r="F23" s="62">
        <f t="shared" ca="1" si="1"/>
        <v>6355.1571606809448</v>
      </c>
      <c r="G23" s="62">
        <f t="shared" ca="1" si="1"/>
        <v>7094.3586000983196</v>
      </c>
      <c r="H23" s="62">
        <f t="shared" ca="1" si="1"/>
        <v>7509.1155074995477</v>
      </c>
    </row>
    <row r="24" spans="1:8" s="29" customFormat="1" ht="20.25" customHeight="1">
      <c r="A24" s="84" t="s">
        <v>141</v>
      </c>
      <c r="B24" s="81" t="s">
        <v>143</v>
      </c>
      <c r="D24" s="34"/>
      <c r="E24" s="34"/>
      <c r="F24" s="34"/>
      <c r="G24" s="34"/>
      <c r="H24" s="34"/>
    </row>
    <row r="25" spans="1:8" s="29" customFormat="1" ht="29.25" customHeight="1">
      <c r="A25" s="85" t="s">
        <v>142</v>
      </c>
      <c r="B25" s="108" t="s">
        <v>144</v>
      </c>
      <c r="C25" s="108"/>
      <c r="D25" s="108"/>
      <c r="E25" s="108"/>
      <c r="F25" s="108"/>
      <c r="G25" s="108"/>
      <c r="H25" s="108"/>
    </row>
    <row r="26" spans="1:8" s="29" customFormat="1" ht="15" customHeight="1">
      <c r="A26" s="84" t="s">
        <v>149</v>
      </c>
      <c r="B26" s="108" t="s">
        <v>148</v>
      </c>
      <c r="C26" s="108"/>
      <c r="D26" s="108"/>
      <c r="E26" s="108"/>
      <c r="F26" s="108"/>
      <c r="G26" s="108"/>
      <c r="H26" s="108"/>
    </row>
    <row r="27" spans="1:8" s="29" customFormat="1">
      <c r="A27" s="34"/>
      <c r="B27" s="108"/>
      <c r="C27" s="108"/>
      <c r="D27" s="108"/>
      <c r="E27" s="108"/>
      <c r="F27" s="108"/>
      <c r="G27" s="108"/>
      <c r="H27" s="108"/>
    </row>
  </sheetData>
  <mergeCells count="3">
    <mergeCell ref="A1:H1"/>
    <mergeCell ref="B25:H25"/>
    <mergeCell ref="B26:H27"/>
  </mergeCells>
  <phoneticPr fontId="0" type="noConversion"/>
  <pageMargins left="0.52" right="0.27559055118110237" top="0.54" bottom="0.31496062992125984" header="0.23622047244094491" footer="0.15748031496062992"/>
  <pageSetup paperSize="9" scale="9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R19"/>
  <sheetViews>
    <sheetView topLeftCell="A2" zoomScale="87" zoomScaleNormal="87" workbookViewId="0">
      <selection activeCell="J2" sqref="J1:R1048576"/>
    </sheetView>
  </sheetViews>
  <sheetFormatPr defaultRowHeight="15.75"/>
  <cols>
    <col min="1" max="1" width="7.5703125" style="28" customWidth="1"/>
    <col min="2" max="2" width="22" style="27" customWidth="1"/>
    <col min="3" max="3" width="10.28515625" style="28" customWidth="1"/>
    <col min="4" max="4" width="14.42578125" style="28" customWidth="1"/>
    <col min="5" max="5" width="13.140625" style="28" customWidth="1"/>
    <col min="6" max="6" width="8.5703125" style="28" customWidth="1"/>
    <col min="7" max="7" width="13" style="28" customWidth="1"/>
    <col min="8" max="8" width="16" style="28" customWidth="1"/>
    <col min="9" max="9" width="7.28515625" style="28" customWidth="1"/>
    <col min="10" max="10" width="9.42578125" style="27" hidden="1" customWidth="1"/>
    <col min="11" max="13" width="9.28515625" style="27" hidden="1" customWidth="1"/>
    <col min="14" max="14" width="9.42578125" style="27" hidden="1" customWidth="1"/>
    <col min="15" max="15" width="11.28515625" style="27" hidden="1" customWidth="1"/>
    <col min="16" max="16" width="11.42578125" style="27" hidden="1" customWidth="1"/>
    <col min="17" max="17" width="9.28515625" style="27" hidden="1" customWidth="1"/>
    <col min="18" max="18" width="12" style="27" hidden="1" customWidth="1"/>
    <col min="19" max="16384" width="9.140625" style="27"/>
  </cols>
  <sheetData>
    <row r="1" spans="1:18" hidden="1">
      <c r="J1" s="65" t="s">
        <v>73</v>
      </c>
      <c r="K1" s="78">
        <f>'FC(2019-24)'!F2</f>
        <v>0.11799999999999999</v>
      </c>
      <c r="L1" s="65"/>
      <c r="M1" s="65"/>
      <c r="N1" s="65"/>
      <c r="O1" s="65" t="s">
        <v>111</v>
      </c>
      <c r="P1" s="78">
        <f>'IV(IWC2019-20)'!P1</f>
        <v>6.6400000000000001E-2</v>
      </c>
    </row>
    <row r="2" spans="1:18" ht="24" customHeight="1">
      <c r="A2" s="120" t="s">
        <v>116</v>
      </c>
      <c r="B2" s="120"/>
      <c r="C2" s="120"/>
      <c r="D2" s="120"/>
      <c r="E2" s="120"/>
      <c r="F2" s="120"/>
      <c r="G2" s="120"/>
      <c r="H2" s="120"/>
      <c r="I2" s="66"/>
    </row>
    <row r="3" spans="1:18" ht="20.25" customHeight="1">
      <c r="A3" s="121" t="s">
        <v>45</v>
      </c>
      <c r="B3" s="121"/>
      <c r="C3" s="121"/>
      <c r="D3" s="121"/>
      <c r="E3" s="121"/>
      <c r="F3" s="121"/>
      <c r="G3" s="121"/>
      <c r="H3" s="121"/>
      <c r="I3" s="26"/>
    </row>
    <row r="4" spans="1:18" ht="17.25" customHeight="1">
      <c r="A4" s="68"/>
      <c r="B4" s="68"/>
      <c r="C4" s="68"/>
      <c r="D4" s="68"/>
      <c r="E4" s="68"/>
      <c r="F4" s="68"/>
      <c r="G4" s="68"/>
      <c r="H4" s="68" t="s">
        <v>1</v>
      </c>
      <c r="I4" s="68"/>
      <c r="P4" s="73"/>
    </row>
    <row r="5" spans="1:18" s="65" customFormat="1" ht="60" customHeight="1">
      <c r="A5" s="57" t="s">
        <v>46</v>
      </c>
      <c r="B5" s="57" t="s">
        <v>2</v>
      </c>
      <c r="C5" s="57" t="s">
        <v>47</v>
      </c>
      <c r="D5" s="40" t="s">
        <v>48</v>
      </c>
      <c r="E5" s="40" t="s">
        <v>49</v>
      </c>
      <c r="F5" s="40" t="s">
        <v>50</v>
      </c>
      <c r="G5" s="40" t="s">
        <v>51</v>
      </c>
      <c r="H5" s="40" t="s">
        <v>52</v>
      </c>
      <c r="I5" s="69"/>
      <c r="J5" s="40" t="s">
        <v>54</v>
      </c>
      <c r="K5" s="40" t="s">
        <v>55</v>
      </c>
      <c r="L5" s="40" t="s">
        <v>53</v>
      </c>
      <c r="M5" s="57" t="s">
        <v>56</v>
      </c>
      <c r="N5" s="57" t="s">
        <v>39</v>
      </c>
      <c r="O5" s="57" t="s">
        <v>75</v>
      </c>
      <c r="P5" s="40" t="s">
        <v>119</v>
      </c>
      <c r="Q5" s="40" t="s">
        <v>118</v>
      </c>
      <c r="R5" s="40" t="s">
        <v>120</v>
      </c>
    </row>
    <row r="6" spans="1:18" ht="24.75" customHeight="1">
      <c r="A6" s="55">
        <v>1</v>
      </c>
      <c r="B6" s="70" t="s">
        <v>57</v>
      </c>
      <c r="C6" s="37">
        <v>725</v>
      </c>
      <c r="D6" s="71">
        <f t="shared" ref="D6:D12" si="0">R6/12</f>
        <v>0</v>
      </c>
      <c r="E6" s="71">
        <f t="shared" ref="E6:E12" si="1">N6/12</f>
        <v>18.175863892026229</v>
      </c>
      <c r="F6" s="71">
        <f>'IV(IWC2022-23)'!F6*1.04</f>
        <v>21.084594798592001</v>
      </c>
      <c r="G6" s="71">
        <f t="shared" ref="G6:G12" ca="1" si="2">(P6+R6)/6</f>
        <v>99.361878948176354</v>
      </c>
      <c r="H6" s="71">
        <f t="shared" ref="H6:H12" ca="1" si="3">D6+E6+F6+G6</f>
        <v>138.62233763879459</v>
      </c>
      <c r="I6" s="72"/>
      <c r="J6" s="76">
        <f>'1(2023-24)'!G6*$K$1</f>
        <v>0</v>
      </c>
      <c r="K6" s="76">
        <f>'1(2023-24)'!F6*$K$1</f>
        <v>15.82498</v>
      </c>
      <c r="L6" s="76">
        <f t="shared" ref="L6:L12" ca="1" si="4">H6*$K$1</f>
        <v>16.357435841377761</v>
      </c>
      <c r="M6" s="76">
        <f>'Annexure ii (Dep)'!G5</f>
        <v>20.62</v>
      </c>
      <c r="N6" s="76">
        <f>' Annexure iii O&amp;M '!G5</f>
        <v>218.11036670431474</v>
      </c>
      <c r="O6" s="76">
        <f>'IV(IWC2022-23)'!O6*(1+$P$1)</f>
        <v>325.25849114336557</v>
      </c>
      <c r="P6" s="76">
        <f ca="1">J6+K6+L6+M6+N6+O6</f>
        <v>596.17127368905813</v>
      </c>
      <c r="Q6" s="76"/>
      <c r="R6" s="77"/>
    </row>
    <row r="7" spans="1:18" ht="24.75" customHeight="1">
      <c r="A7" s="55">
        <v>2</v>
      </c>
      <c r="B7" s="70" t="s">
        <v>68</v>
      </c>
      <c r="C7" s="37">
        <v>90</v>
      </c>
      <c r="D7" s="71">
        <f t="shared" si="0"/>
        <v>0</v>
      </c>
      <c r="E7" s="71">
        <f t="shared" si="1"/>
        <v>1.9801357287635444</v>
      </c>
      <c r="F7" s="71">
        <f>'IV(IWC2022-23)'!F7*1.04</f>
        <v>3.4309611847680004</v>
      </c>
      <c r="G7" s="71">
        <f t="shared" ca="1" si="2"/>
        <v>11.968627510289124</v>
      </c>
      <c r="H7" s="71">
        <f t="shared" ca="1" si="3"/>
        <v>17.379724423820669</v>
      </c>
      <c r="I7" s="72"/>
      <c r="J7" s="76">
        <f>'1(2023-24)'!G7*$K$1</f>
        <v>0</v>
      </c>
      <c r="K7" s="76">
        <f>'1(2023-24)'!F7*$K$1</f>
        <v>2.0404947141673575</v>
      </c>
      <c r="L7" s="76">
        <f t="shared" ca="1" si="4"/>
        <v>2.0508074820108386</v>
      </c>
      <c r="M7" s="76">
        <f>'Annexure ii (Dep)'!G6</f>
        <v>3.5819179784589887</v>
      </c>
      <c r="N7" s="76">
        <f>' Annexure iii O&amp;M '!G6</f>
        <v>23.761628745162533</v>
      </c>
      <c r="O7" s="76">
        <f>'IV(IWC2022-23)'!O7*(1+$P$1)</f>
        <v>40.376916141935034</v>
      </c>
      <c r="P7" s="76">
        <f t="shared" ref="P7:P12" ca="1" si="5">J7+K7+L7+M7+N7+O7</f>
        <v>71.811765061734746</v>
      </c>
      <c r="Q7" s="76"/>
      <c r="R7" s="77"/>
    </row>
    <row r="8" spans="1:18" ht="24.75" customHeight="1">
      <c r="A8" s="55">
        <v>3</v>
      </c>
      <c r="B8" s="70" t="s">
        <v>58</v>
      </c>
      <c r="C8" s="37">
        <v>770</v>
      </c>
      <c r="D8" s="71">
        <f t="shared" si="0"/>
        <v>0</v>
      </c>
      <c r="E8" s="71">
        <f t="shared" si="1"/>
        <v>14.99200110594151</v>
      </c>
      <c r="F8" s="71">
        <f>'IV(IWC2022-23)'!F8*1.04</f>
        <v>28.542677090304007</v>
      </c>
      <c r="G8" s="71">
        <f t="shared" ca="1" si="2"/>
        <v>98.765731811082659</v>
      </c>
      <c r="H8" s="71">
        <f t="shared" ca="1" si="3"/>
        <v>142.30041000732817</v>
      </c>
      <c r="I8" s="72"/>
      <c r="J8" s="76">
        <f>'1(2023-24)'!G8*$K$1</f>
        <v>0</v>
      </c>
      <c r="K8" s="76">
        <f>'1(2023-24)'!F8*$K$1</f>
        <v>18.361979999999988</v>
      </c>
      <c r="L8" s="76">
        <f t="shared" ca="1" si="4"/>
        <v>16.791448380864722</v>
      </c>
      <c r="M8" s="76">
        <f>'Annexure ii (Dep)'!G7</f>
        <v>32.090000000000003</v>
      </c>
      <c r="N8" s="76">
        <f>' Annexure iii O&amp;M '!G7</f>
        <v>179.90401327129811</v>
      </c>
      <c r="O8" s="76">
        <f>'IV(IWC2022-23)'!O8*(1+$P$1)</f>
        <v>345.44694921433307</v>
      </c>
      <c r="P8" s="76">
        <f t="shared" ca="1" si="5"/>
        <v>592.59439086649593</v>
      </c>
      <c r="Q8" s="76"/>
      <c r="R8" s="77"/>
    </row>
    <row r="9" spans="1:18" ht="24.75" customHeight="1">
      <c r="A9" s="55">
        <v>4</v>
      </c>
      <c r="B9" s="70" t="s">
        <v>65</v>
      </c>
      <c r="C9" s="40">
        <v>20</v>
      </c>
      <c r="D9" s="71">
        <f t="shared" si="0"/>
        <v>0</v>
      </c>
      <c r="E9" s="71">
        <f t="shared" si="1"/>
        <v>0.8406740467638415</v>
      </c>
      <c r="F9" s="71">
        <f>'IV(IWC2022-23)'!F9*1.04</f>
        <v>1.2896520765440005</v>
      </c>
      <c r="G9" s="71">
        <f t="shared" ca="1" si="2"/>
        <v>3.9219372790305242</v>
      </c>
      <c r="H9" s="71">
        <f t="shared" ca="1" si="3"/>
        <v>6.0522634023383661</v>
      </c>
      <c r="I9" s="72"/>
      <c r="J9" s="76">
        <f>'1(2023-24)'!G9*$K$1</f>
        <v>0.14191466666666655</v>
      </c>
      <c r="K9" s="76">
        <f>'1(2023-24)'!F9*$K$1</f>
        <v>2.0064719999999996</v>
      </c>
      <c r="L9" s="76">
        <f t="shared" ca="1" si="4"/>
        <v>0.71416708147592711</v>
      </c>
      <c r="M9" s="76">
        <f>'Annexure ii (Dep)'!G8</f>
        <v>1.6083333333333334</v>
      </c>
      <c r="N9" s="76">
        <f>' Annexure iii O&amp;M '!G8</f>
        <v>10.088088561166098</v>
      </c>
      <c r="O9" s="76">
        <f>'IV(IWC2022-23)'!O9*(1+$P$1)</f>
        <v>8.9726480315411177</v>
      </c>
      <c r="P9" s="76">
        <f t="shared" ca="1" si="5"/>
        <v>23.531623674183145</v>
      </c>
      <c r="Q9" s="76"/>
      <c r="R9" s="77"/>
    </row>
    <row r="10" spans="1:18" ht="24.75" customHeight="1">
      <c r="A10" s="55">
        <v>5</v>
      </c>
      <c r="B10" s="70" t="s">
        <v>66</v>
      </c>
      <c r="C10" s="40">
        <v>1</v>
      </c>
      <c r="D10" s="71">
        <f t="shared" si="0"/>
        <v>0</v>
      </c>
      <c r="E10" s="71">
        <f t="shared" si="1"/>
        <v>0.12917929332695857</v>
      </c>
      <c r="F10" s="71">
        <f>'IV(IWC2022-23)'!F10*1.04</f>
        <v>7.2999174144000006E-2</v>
      </c>
      <c r="G10" s="71">
        <f t="shared" ca="1" si="2"/>
        <v>0.39019960819725102</v>
      </c>
      <c r="H10" s="71">
        <f t="shared" ca="1" si="3"/>
        <v>0.59237807566820955</v>
      </c>
      <c r="I10" s="72"/>
      <c r="J10" s="76">
        <f>'1(2023-24)'!G10*$K$1</f>
        <v>6.6515245901639361E-2</v>
      </c>
      <c r="K10" s="76">
        <f>'1(2023-24)'!F10*$K$1</f>
        <v>0.12566999999999998</v>
      </c>
      <c r="L10" s="76">
        <f t="shared" ca="1" si="4"/>
        <v>6.9900612928848721E-2</v>
      </c>
      <c r="M10" s="76">
        <f>'Annexure ii (Dep)'!G9</f>
        <v>8.0327868852459017E-2</v>
      </c>
      <c r="N10" s="76">
        <f>' Annexure iii O&amp;M '!G9</f>
        <v>1.550151519923503</v>
      </c>
      <c r="O10" s="76">
        <f>'IV(IWC2022-23)'!O10*(1+$P$1)</f>
        <v>0.44863240157705603</v>
      </c>
      <c r="P10" s="76">
        <f t="shared" ca="1" si="5"/>
        <v>2.3411976491835063</v>
      </c>
      <c r="Q10" s="76"/>
      <c r="R10" s="77"/>
    </row>
    <row r="11" spans="1:18" ht="24.75" customHeight="1">
      <c r="A11" s="55">
        <v>6</v>
      </c>
      <c r="B11" s="70" t="s">
        <v>59</v>
      </c>
      <c r="C11" s="40">
        <v>1260</v>
      </c>
      <c r="D11" s="71">
        <f t="shared" si="0"/>
        <v>270.05328000000003</v>
      </c>
      <c r="E11" s="71">
        <f t="shared" si="1"/>
        <v>63.633774506517824</v>
      </c>
      <c r="F11" s="71">
        <f>'IV(IWC2022-23)'!F11*1.04</f>
        <v>67.499903025152008</v>
      </c>
      <c r="G11" s="71">
        <f t="shared" ca="1" si="2"/>
        <v>791.14681685153153</v>
      </c>
      <c r="H11" s="71">
        <f t="shared" ca="1" si="3"/>
        <v>1192.3337743832012</v>
      </c>
      <c r="I11" s="72"/>
      <c r="J11" s="76">
        <f>'1(2023-24)'!G11*$K$1</f>
        <v>0</v>
      </c>
      <c r="K11" s="76">
        <f>'1(2023-24)'!F11*$K$1</f>
        <v>36.66403566666667</v>
      </c>
      <c r="L11" s="76">
        <f t="shared" ca="1" si="4"/>
        <v>140.69538537721775</v>
      </c>
      <c r="M11" s="76">
        <f>'Annexure ii (Dep)'!G10</f>
        <v>0</v>
      </c>
      <c r="N11" s="76">
        <f>' Annexure iii O&amp;M '!G10</f>
        <v>763.60529407821389</v>
      </c>
      <c r="O11" s="76">
        <f>'IV(IWC2022-23)'!O11*(1+$P$1)</f>
        <v>565.27682598709043</v>
      </c>
      <c r="P11" s="76">
        <f t="shared" ca="1" si="5"/>
        <v>1506.2415411091888</v>
      </c>
      <c r="Q11" s="71">
        <v>3.67</v>
      </c>
      <c r="R11" s="76">
        <f>(C11*24*365*0.8/1000)*Q11/10</f>
        <v>3240.6393600000001</v>
      </c>
    </row>
    <row r="12" spans="1:18" ht="24.75" customHeight="1">
      <c r="A12" s="55">
        <v>7</v>
      </c>
      <c r="B12" s="70" t="s">
        <v>20</v>
      </c>
      <c r="C12" s="40">
        <v>420</v>
      </c>
      <c r="D12" s="71">
        <f t="shared" si="0"/>
        <v>94.923360000000002</v>
      </c>
      <c r="E12" s="71">
        <f t="shared" si="1"/>
        <v>21.210798463627665</v>
      </c>
      <c r="F12" s="71">
        <f>'IV(IWC2022-23)'!F12*1.04</f>
        <v>59.092831469568011</v>
      </c>
      <c r="G12" s="71">
        <f t="shared" ca="1" si="2"/>
        <v>279.4743412169351</v>
      </c>
      <c r="H12" s="71">
        <f t="shared" ca="1" si="3"/>
        <v>454.70133115013078</v>
      </c>
      <c r="I12" s="72"/>
      <c r="J12" s="76">
        <f>'1(2023-24)'!G12*$K$1</f>
        <v>0</v>
      </c>
      <c r="K12" s="76">
        <f>'1(2023-24)'!F12*$K$1</f>
        <v>25.925779999999975</v>
      </c>
      <c r="L12" s="76">
        <f t="shared" ca="1" si="4"/>
        <v>53.65475707571543</v>
      </c>
      <c r="M12" s="76">
        <f>'Annexure ii (Dep)'!G11</f>
        <v>15.23</v>
      </c>
      <c r="N12" s="76">
        <f>' Annexure iii O&amp;M '!G11</f>
        <v>254.52958156353196</v>
      </c>
      <c r="O12" s="76">
        <f>'IV(IWC2022-23)'!O12*(1+$P$1)</f>
        <v>188.42560866236349</v>
      </c>
      <c r="P12" s="76">
        <f t="shared" ca="1" si="5"/>
        <v>537.76572730161081</v>
      </c>
      <c r="Q12" s="71">
        <v>3.87</v>
      </c>
      <c r="R12" s="76">
        <f>(C12*24*365*0.8/1000)*Q12/10</f>
        <v>1139.08032</v>
      </c>
    </row>
    <row r="13" spans="1:18" ht="24.75" customHeight="1">
      <c r="A13" s="55">
        <v>8</v>
      </c>
      <c r="B13" s="70" t="s">
        <v>123</v>
      </c>
      <c r="C13" s="40">
        <v>420</v>
      </c>
      <c r="D13" s="71">
        <f t="shared" ref="D13:D18" si="6">R13/12</f>
        <v>94.923360000000002</v>
      </c>
      <c r="E13" s="71">
        <f t="shared" ref="E13:E18" si="7">N13/12</f>
        <v>21.210798463627665</v>
      </c>
      <c r="F13" s="71">
        <f>'IV(IWC2022-23)'!F13*1.04</f>
        <v>31.085481656320006</v>
      </c>
      <c r="G13" s="71">
        <f t="shared" ref="G13:G18" ca="1" si="8">(P13+R13)/6</f>
        <v>246.55509092349055</v>
      </c>
      <c r="H13" s="71">
        <f t="shared" ref="H13:H18" ca="1" si="9">D13+E13+F13+G13</f>
        <v>393.77473104343824</v>
      </c>
      <c r="I13" s="72"/>
      <c r="J13" s="76">
        <f>'1(2023-24)'!G13*$K$1</f>
        <v>0</v>
      </c>
      <c r="K13" s="76">
        <f>'1(2023-24)'!F13*$K$1</f>
        <v>31.40165428571424</v>
      </c>
      <c r="L13" s="76">
        <f t="shared" ref="L13:L18" ca="1" si="10">H13*$K$1</f>
        <v>46.465418263125713</v>
      </c>
      <c r="M13" s="76">
        <f>'Annexure ii (Dep)'!G12</f>
        <v>7.8535714285714286</v>
      </c>
      <c r="N13" s="76">
        <f>' Annexure iii O&amp;M '!G12</f>
        <v>254.52958156353196</v>
      </c>
      <c r="O13" s="76"/>
      <c r="P13" s="76">
        <f t="shared" ref="P13:P18" ca="1" si="11">J13+K13+L13+M13+N13+O13</f>
        <v>340.25022554094335</v>
      </c>
      <c r="Q13" s="71">
        <v>3.87</v>
      </c>
      <c r="R13" s="76">
        <f t="shared" ref="R13:R18" si="12">(C13*24*365*0.8/1000)*Q13/10</f>
        <v>1139.08032</v>
      </c>
    </row>
    <row r="14" spans="1:18" ht="24.75" customHeight="1">
      <c r="A14" s="55">
        <v>9</v>
      </c>
      <c r="B14" s="70" t="s">
        <v>124</v>
      </c>
      <c r="C14" s="40">
        <v>500</v>
      </c>
      <c r="D14" s="71">
        <f t="shared" si="6"/>
        <v>91.98</v>
      </c>
      <c r="E14" s="71">
        <f t="shared" si="7"/>
        <v>16.905199451700128</v>
      </c>
      <c r="F14" s="71">
        <f>'IV(IWC2022-23)'!F14*1.04</f>
        <v>37.241745342464</v>
      </c>
      <c r="G14" s="71">
        <f t="shared" ca="1" si="8"/>
        <v>239.24422434083294</v>
      </c>
      <c r="H14" s="71">
        <f t="shared" ca="1" si="9"/>
        <v>385.3711691349971</v>
      </c>
      <c r="I14" s="72"/>
      <c r="J14" s="76">
        <f>'1(2023-24)'!G14*$K$1</f>
        <v>0</v>
      </c>
      <c r="K14" s="76">
        <f>'1(2023-24)'!F14*$K$1</f>
        <v>59.399154666666632</v>
      </c>
      <c r="L14" s="76">
        <f t="shared" ca="1" si="10"/>
        <v>45.473797957929655</v>
      </c>
      <c r="M14" s="76">
        <f>'Annexure ii (Dep)'!G13</f>
        <v>23.97</v>
      </c>
      <c r="N14" s="76">
        <f>' Annexure iii O&amp;M '!G13</f>
        <v>202.86239342040153</v>
      </c>
      <c r="O14" s="76"/>
      <c r="P14" s="76">
        <f t="shared" ca="1" si="11"/>
        <v>331.70534604499778</v>
      </c>
      <c r="Q14" s="71">
        <v>3.15</v>
      </c>
      <c r="R14" s="76">
        <f t="shared" si="12"/>
        <v>1103.76</v>
      </c>
    </row>
    <row r="15" spans="1:18" ht="24.75" customHeight="1">
      <c r="A15" s="55">
        <v>10</v>
      </c>
      <c r="B15" s="70" t="s">
        <v>125</v>
      </c>
      <c r="C15" s="40">
        <v>210</v>
      </c>
      <c r="D15" s="71">
        <f t="shared" si="6"/>
        <v>47.461680000000001</v>
      </c>
      <c r="E15" s="71">
        <f t="shared" si="7"/>
        <v>10.605399231813832</v>
      </c>
      <c r="F15" s="71">
        <f>'IV(IWC2022-23)'!F15*1.04</f>
        <v>19.417780322304001</v>
      </c>
      <c r="G15" s="71">
        <f t="shared" ca="1" si="8"/>
        <v>127.88040329975381</v>
      </c>
      <c r="H15" s="71">
        <f t="shared" ca="1" si="9"/>
        <v>205.36526285387163</v>
      </c>
      <c r="I15" s="72"/>
      <c r="J15" s="76">
        <f>'1(2023-24)'!G15*$K$1</f>
        <v>0</v>
      </c>
      <c r="K15" s="76">
        <f>'1(2023-24)'!F15*$K$1</f>
        <v>33.674368000000008</v>
      </c>
      <c r="L15" s="76">
        <f t="shared" ca="1" si="10"/>
        <v>24.233101016756851</v>
      </c>
      <c r="M15" s="76">
        <f>'Annexure ii (Dep)'!G14</f>
        <v>12.57</v>
      </c>
      <c r="N15" s="76">
        <f>' Annexure iii O&amp;M '!G14</f>
        <v>127.26479078176598</v>
      </c>
      <c r="O15" s="76"/>
      <c r="P15" s="76">
        <f t="shared" ca="1" si="11"/>
        <v>197.74225979852284</v>
      </c>
      <c r="Q15" s="71">
        <v>3.87</v>
      </c>
      <c r="R15" s="76">
        <f t="shared" si="12"/>
        <v>569.54016000000001</v>
      </c>
    </row>
    <row r="16" spans="1:18" ht="24.75" customHeight="1">
      <c r="A16" s="55">
        <v>11</v>
      </c>
      <c r="B16" s="70" t="s">
        <v>126</v>
      </c>
      <c r="C16" s="40">
        <v>50</v>
      </c>
      <c r="D16" s="71">
        <f t="shared" si="6"/>
        <v>0</v>
      </c>
      <c r="E16" s="71">
        <f t="shared" si="7"/>
        <v>0.81672909312192277</v>
      </c>
      <c r="F16" s="71">
        <f>'IV(IWC2022-23)'!F16*1.04</f>
        <v>3.4674607718400008</v>
      </c>
      <c r="G16" s="71">
        <f t="shared" ca="1" si="8"/>
        <v>8.3793828811393922</v>
      </c>
      <c r="H16" s="71">
        <f t="shared" ca="1" si="9"/>
        <v>12.663572746101316</v>
      </c>
      <c r="I16" s="72"/>
      <c r="J16" s="76">
        <f>'1(2023-24)'!G16*$K$1</f>
        <v>18.512526445333332</v>
      </c>
      <c r="K16" s="76">
        <f>'1(2023-24)'!F16*$K$1</f>
        <v>10.438720139999999</v>
      </c>
      <c r="L16" s="76">
        <f t="shared" ca="1" si="10"/>
        <v>1.4943015840399552</v>
      </c>
      <c r="M16" s="76">
        <f>'Annexure ii (Dep)'!G15</f>
        <v>10.029999999999999</v>
      </c>
      <c r="N16" s="76">
        <f>' Annexure iii O&amp;M '!G15</f>
        <v>9.8007491174630736</v>
      </c>
      <c r="O16" s="76"/>
      <c r="P16" s="76">
        <f t="shared" ca="1" si="11"/>
        <v>50.276297286836353</v>
      </c>
      <c r="Q16" s="71"/>
      <c r="R16" s="76">
        <f t="shared" si="12"/>
        <v>0</v>
      </c>
    </row>
    <row r="17" spans="1:18" ht="24.75" customHeight="1">
      <c r="A17" s="55">
        <v>12</v>
      </c>
      <c r="B17" s="70" t="s">
        <v>127</v>
      </c>
      <c r="C17" s="40">
        <v>600</v>
      </c>
      <c r="D17" s="71">
        <f t="shared" si="6"/>
        <v>127.54560000000002</v>
      </c>
      <c r="E17" s="71">
        <f t="shared" si="7"/>
        <v>12.674072684053201</v>
      </c>
      <c r="F17" s="71">
        <f>'IV(IWC2022-23)'!F17*1.04</f>
        <v>56.773235916800012</v>
      </c>
      <c r="G17" s="71">
        <f t="shared" ca="1" si="8"/>
        <v>420.92810144568847</v>
      </c>
      <c r="H17" s="71">
        <f t="shared" ca="1" si="9"/>
        <v>617.92101004654171</v>
      </c>
      <c r="I17" s="72"/>
      <c r="J17" s="76">
        <f>'1(2023-24)'!G17*$K$1</f>
        <v>224.49794527999998</v>
      </c>
      <c r="K17" s="76">
        <f>'1(2023-24)'!F17*$K$1</f>
        <v>171.80965199999997</v>
      </c>
      <c r="L17" s="76">
        <f t="shared" ca="1" si="10"/>
        <v>72.91467918549192</v>
      </c>
      <c r="M17" s="76">
        <f>'Annexure ii (Dep)'!G16</f>
        <v>373.71026000000001</v>
      </c>
      <c r="N17" s="76">
        <f>' Annexure iii O&amp;M '!G16</f>
        <v>152.08887220863841</v>
      </c>
      <c r="O17" s="76"/>
      <c r="P17" s="76">
        <f t="shared" ca="1" si="11"/>
        <v>995.02140867413027</v>
      </c>
      <c r="Q17" s="71">
        <v>3.64</v>
      </c>
      <c r="R17" s="76">
        <f t="shared" si="12"/>
        <v>1530.5472000000002</v>
      </c>
    </row>
    <row r="18" spans="1:18" ht="24.75" customHeight="1">
      <c r="A18" s="55">
        <v>13</v>
      </c>
      <c r="B18" s="70" t="s">
        <v>130</v>
      </c>
      <c r="C18" s="40">
        <v>800</v>
      </c>
      <c r="D18" s="71">
        <f t="shared" si="6"/>
        <v>136.42239999999998</v>
      </c>
      <c r="E18" s="71">
        <f t="shared" si="7"/>
        <v>16.898763578737601</v>
      </c>
      <c r="F18" s="71">
        <f>'IV(IWC2022-23)'!F18*1.04</f>
        <v>71.876109926400005</v>
      </c>
      <c r="G18" s="71">
        <f t="shared" ca="1" si="8"/>
        <v>489.39018604285229</v>
      </c>
      <c r="H18" s="71">
        <f t="shared" ca="1" si="9"/>
        <v>714.58745954798985</v>
      </c>
      <c r="I18" s="72"/>
      <c r="J18" s="76">
        <f>'1(2023-24)'!G18*$K$1</f>
        <v>321.59248108560007</v>
      </c>
      <c r="K18" s="76">
        <f>'1(2023-24)'!F18*$K$1</f>
        <v>217.49335199999999</v>
      </c>
      <c r="L18" s="76">
        <f t="shared" ca="1" si="10"/>
        <v>84.321320226662792</v>
      </c>
      <c r="M18" s="76">
        <f>'Annexure ii (Dep)'!G17</f>
        <v>473.08</v>
      </c>
      <c r="N18" s="76">
        <f>' Annexure iii O&amp;M '!G17</f>
        <v>202.78516294485121</v>
      </c>
      <c r="O18" s="76"/>
      <c r="P18" s="76">
        <f t="shared" ca="1" si="11"/>
        <v>1299.272316257114</v>
      </c>
      <c r="Q18" s="71">
        <v>2.92</v>
      </c>
      <c r="R18" s="76">
        <f t="shared" si="12"/>
        <v>1637.0687999999998</v>
      </c>
    </row>
    <row r="19" spans="1:18" ht="24.75" customHeight="1">
      <c r="A19" s="55">
        <v>14</v>
      </c>
      <c r="B19" s="70" t="s">
        <v>137</v>
      </c>
      <c r="C19" s="40">
        <v>960</v>
      </c>
      <c r="D19" s="71">
        <f t="shared" ref="D19" si="13">R19/12</f>
        <v>0</v>
      </c>
      <c r="E19" s="71">
        <f t="shared" ref="E19" si="14">N19/12</f>
        <v>6.6736874999999998</v>
      </c>
      <c r="F19" s="71">
        <f>5338.95*1%</f>
        <v>53.389499999999998</v>
      </c>
      <c r="G19" s="71">
        <f t="shared" ref="G19" ca="1" si="15">(P19+R19)/6</f>
        <v>149.87354848775925</v>
      </c>
      <c r="H19" s="71">
        <f t="shared" ref="H19" ca="1" si="16">D19+E19+F19+G19</f>
        <v>209.93673598775925</v>
      </c>
      <c r="I19" s="72"/>
      <c r="J19" s="76">
        <f>'1(2023-24)'!G19*$K$1</f>
        <v>423.86137607999996</v>
      </c>
      <c r="K19" s="76">
        <f>'1(2023-24)'!F19*$K$1</f>
        <v>188.99882999999997</v>
      </c>
      <c r="L19" s="76">
        <f t="shared" ref="L19" ca="1" si="17">H19*$K$1</f>
        <v>24.77253484655559</v>
      </c>
      <c r="M19" s="76">
        <f>5338.95*3.4%</f>
        <v>181.52430000000001</v>
      </c>
      <c r="N19" s="76">
        <f>5338.95*1.5%</f>
        <v>80.084249999999997</v>
      </c>
      <c r="O19" s="76"/>
      <c r="P19" s="76">
        <f t="shared" ref="P19" ca="1" si="18">J19+K19+L19+M19+N19+O19</f>
        <v>899.24129092655551</v>
      </c>
      <c r="Q19" s="71"/>
      <c r="R19" s="76">
        <f t="shared" ref="R19" si="19">(C19*24*365*0.8/1000)*Q19/10</f>
        <v>0</v>
      </c>
    </row>
  </sheetData>
  <mergeCells count="2">
    <mergeCell ref="A2:H2"/>
    <mergeCell ref="A3:H3"/>
  </mergeCells>
  <phoneticPr fontId="2" type="noConversion"/>
  <printOptions horizontalCentered="1"/>
  <pageMargins left="0.62992125984251968" right="0.27559055118110237" top="0.6692913385826772" bottom="0.35433070866141736" header="0.43307086614173229" footer="0.2362204724409449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23"/>
  <sheetViews>
    <sheetView topLeftCell="A13" workbookViewId="0">
      <selection activeCell="J17" sqref="J17"/>
    </sheetView>
  </sheetViews>
  <sheetFormatPr defaultRowHeight="15"/>
  <cols>
    <col min="1" max="1" width="7" style="36" customWidth="1"/>
    <col min="2" max="2" width="29.7109375" style="32" customWidth="1"/>
    <col min="3" max="3" width="11.7109375" style="36" customWidth="1"/>
    <col min="4" max="4" width="12.7109375" style="36" customWidth="1"/>
    <col min="5" max="5" width="11.85546875" style="36" customWidth="1"/>
    <col min="6" max="6" width="12.42578125" style="36" customWidth="1"/>
    <col min="7" max="7" width="9.5703125" style="36" bestFit="1" customWidth="1"/>
    <col min="8" max="16384" width="9.140625" style="32"/>
  </cols>
  <sheetData>
    <row r="1" spans="1:11" s="29" customFormat="1" ht="36.75" customHeight="1">
      <c r="A1" s="109" t="s">
        <v>99</v>
      </c>
      <c r="B1" s="109"/>
      <c r="C1" s="109"/>
      <c r="D1" s="109"/>
      <c r="E1" s="109"/>
      <c r="F1" s="109"/>
      <c r="G1" s="34"/>
    </row>
    <row r="2" spans="1:11" s="29" customFormat="1" ht="23.25" customHeight="1">
      <c r="A2" s="89"/>
      <c r="B2" s="89"/>
      <c r="C2" s="89"/>
      <c r="D2" s="89"/>
      <c r="E2" s="110" t="s">
        <v>1</v>
      </c>
      <c r="F2" s="110"/>
      <c r="G2" s="34"/>
    </row>
    <row r="3" spans="1:11" ht="33" customHeight="1">
      <c r="A3" s="40" t="s">
        <v>35</v>
      </c>
      <c r="B3" s="40" t="s">
        <v>38</v>
      </c>
      <c r="C3" s="40" t="s">
        <v>8</v>
      </c>
      <c r="D3" s="40" t="s">
        <v>33</v>
      </c>
      <c r="E3" s="40" t="s">
        <v>39</v>
      </c>
      <c r="F3" s="40" t="s">
        <v>40</v>
      </c>
    </row>
    <row r="4" spans="1:11" s="29" customFormat="1" ht="25.5" customHeight="1">
      <c r="A4" s="55">
        <v>1</v>
      </c>
      <c r="B4" s="49" t="s">
        <v>41</v>
      </c>
      <c r="C4" s="71">
        <f ca="1">'1(2019-20)'!J6</f>
        <v>38.115894330553949</v>
      </c>
      <c r="D4" s="71">
        <f>'Annexure ii (Dep)'!C5</f>
        <v>20.62</v>
      </c>
      <c r="E4" s="71">
        <f>' Annexure iii O&amp;M '!C5</f>
        <v>168.65365686524575</v>
      </c>
      <c r="F4" s="71">
        <f t="shared" ref="F4:F10" ca="1" si="0">C4+D4+E4</f>
        <v>227.3895511957997</v>
      </c>
      <c r="G4" s="34"/>
    </row>
    <row r="5" spans="1:11" s="29" customFormat="1" ht="25.5" customHeight="1">
      <c r="A5" s="55">
        <v>2</v>
      </c>
      <c r="B5" s="49" t="s">
        <v>64</v>
      </c>
      <c r="C5" s="71">
        <f ca="1">'1(2019-20)'!J7</f>
        <v>5.328421494779735</v>
      </c>
      <c r="D5" s="71">
        <f>'Annexure ii (Dep)'!C6</f>
        <v>3.5819179784589887</v>
      </c>
      <c r="E5" s="71">
        <f>' Annexure iii O&amp;M '!C6</f>
        <v>18.373659361083106</v>
      </c>
      <c r="F5" s="71">
        <f t="shared" ca="1" si="0"/>
        <v>27.283998834321828</v>
      </c>
      <c r="G5" s="34"/>
    </row>
    <row r="6" spans="1:11" s="29" customFormat="1" ht="25.5" customHeight="1">
      <c r="A6" s="55">
        <v>3</v>
      </c>
      <c r="B6" s="49" t="s">
        <v>12</v>
      </c>
      <c r="C6" s="71">
        <f ca="1">'1(2019-20)'!J8</f>
        <v>46.607023130035508</v>
      </c>
      <c r="D6" s="71">
        <f>'Annexure ii (Dep)'!C7</f>
        <v>32.090000000000003</v>
      </c>
      <c r="E6" s="71">
        <f>' Annexure iii O&amp;M '!C7</f>
        <v>139.11062633749586</v>
      </c>
      <c r="F6" s="71">
        <f t="shared" ca="1" si="0"/>
        <v>217.80764946753138</v>
      </c>
      <c r="G6" s="34"/>
    </row>
    <row r="7" spans="1:11" s="29" customFormat="1" ht="25.5" customHeight="1">
      <c r="A7" s="55">
        <v>4</v>
      </c>
      <c r="B7" s="49" t="s">
        <v>65</v>
      </c>
      <c r="C7" s="71">
        <f ca="1">'1(2019-20)'!J9</f>
        <v>3.4865723242919668</v>
      </c>
      <c r="D7" s="71">
        <f>'Annexure ii (Dep)'!C8</f>
        <v>1.6083333333333334</v>
      </c>
      <c r="E7" s="71">
        <f>' Annexure iii O&amp;M '!C8</f>
        <v>7.800605960777836</v>
      </c>
      <c r="F7" s="71">
        <f t="shared" ca="1" si="0"/>
        <v>12.895511618403138</v>
      </c>
      <c r="G7" s="34"/>
    </row>
    <row r="8" spans="1:11" s="29" customFormat="1" ht="25.5" customHeight="1">
      <c r="A8" s="55">
        <v>5</v>
      </c>
      <c r="B8" s="49" t="s">
        <v>66</v>
      </c>
      <c r="C8" s="71">
        <f ca="1">'1(2019-20)'!J10</f>
        <v>0.28595970134087212</v>
      </c>
      <c r="D8" s="71">
        <f>'Annexure ii (Dep)'!C9</f>
        <v>8.0327868852459017E-2</v>
      </c>
      <c r="E8" s="71">
        <f>' Annexure iii O&amp;M '!C9</f>
        <v>1.1986533537158357</v>
      </c>
      <c r="F8" s="71">
        <f t="shared" ca="1" si="0"/>
        <v>1.5649409239091669</v>
      </c>
      <c r="G8" s="34"/>
    </row>
    <row r="9" spans="1:11" s="29" customFormat="1" ht="25.5" customHeight="1">
      <c r="A9" s="55">
        <v>6</v>
      </c>
      <c r="B9" s="49" t="s">
        <v>19</v>
      </c>
      <c r="C9" s="71">
        <f ca="1">'1(2019-20)'!J11</f>
        <v>183.10729449946902</v>
      </c>
      <c r="D9" s="71">
        <f>'Annexure ii (Dep)'!C10</f>
        <v>41.593333333333334</v>
      </c>
      <c r="E9" s="71">
        <f>' Annexure iii O&amp;M '!C10</f>
        <v>590.45714880000003</v>
      </c>
      <c r="F9" s="71">
        <f t="shared" ca="1" si="0"/>
        <v>815.15777663280232</v>
      </c>
      <c r="G9" s="35"/>
    </row>
    <row r="10" spans="1:11" s="29" customFormat="1" ht="25.5" customHeight="1">
      <c r="A10" s="55">
        <v>7</v>
      </c>
      <c r="B10" s="49" t="s">
        <v>20</v>
      </c>
      <c r="C10" s="71">
        <f ca="1">'1(2019-20)'!J12</f>
        <v>82.905432997786647</v>
      </c>
      <c r="D10" s="71">
        <f>'Annexure ii (Dep)'!C11</f>
        <v>15.23</v>
      </c>
      <c r="E10" s="71">
        <f>' Annexure iii O&amp;M '!C11</f>
        <v>196.814784</v>
      </c>
      <c r="F10" s="71">
        <f t="shared" ca="1" si="0"/>
        <v>294.95021699778664</v>
      </c>
      <c r="G10" s="35"/>
    </row>
    <row r="11" spans="1:11" s="29" customFormat="1" ht="25.5" customHeight="1">
      <c r="A11" s="55">
        <v>8</v>
      </c>
      <c r="B11" s="49" t="s">
        <v>123</v>
      </c>
      <c r="C11" s="71">
        <f ca="1">'1(2019-20)'!J13</f>
        <v>79.368305140525564</v>
      </c>
      <c r="D11" s="71">
        <f>'Annexure ii (Dep)'!C12</f>
        <v>7.8535714285714286</v>
      </c>
      <c r="E11" s="71">
        <f>' Annexure iii O&amp;M '!C12</f>
        <v>196.814784</v>
      </c>
      <c r="F11" s="71">
        <f t="shared" ref="F11:F16" ca="1" si="1">C11+D11+E11</f>
        <v>284.03666056909697</v>
      </c>
      <c r="G11" s="35"/>
    </row>
    <row r="12" spans="1:11" s="29" customFormat="1" ht="25.5" customHeight="1">
      <c r="A12" s="55">
        <v>9</v>
      </c>
      <c r="B12" s="49" t="s">
        <v>124</v>
      </c>
      <c r="C12" s="71">
        <f ca="1">'1(2019-20)'!J14</f>
        <v>133.05675910724241</v>
      </c>
      <c r="D12" s="71">
        <f>'Annexure ii (Dep)'!C13</f>
        <v>156.97999999999999</v>
      </c>
      <c r="E12" s="71">
        <f>' Annexure iii O&amp;M '!C13</f>
        <v>156.86317440000002</v>
      </c>
      <c r="F12" s="71">
        <f t="shared" ca="1" si="1"/>
        <v>446.89993350724239</v>
      </c>
      <c r="G12" s="35"/>
    </row>
    <row r="13" spans="1:11" s="29" customFormat="1" ht="25.5" customHeight="1">
      <c r="A13" s="55">
        <v>10</v>
      </c>
      <c r="B13" s="49" t="s">
        <v>125</v>
      </c>
      <c r="C13" s="71">
        <f ca="1">'1(2019-20)'!J15</f>
        <v>82.974376726283595</v>
      </c>
      <c r="D13" s="71">
        <f>'Annexure ii (Dep)'!C14</f>
        <v>90.11</v>
      </c>
      <c r="E13" s="71">
        <f>' Annexure iii O&amp;M '!C14</f>
        <v>98.407392000000002</v>
      </c>
      <c r="F13" s="71">
        <f t="shared" ca="1" si="1"/>
        <v>271.49176872628362</v>
      </c>
      <c r="G13" s="35"/>
    </row>
    <row r="14" spans="1:11" s="29" customFormat="1" ht="25.5" customHeight="1">
      <c r="A14" s="55">
        <v>11</v>
      </c>
      <c r="B14" s="49" t="s">
        <v>126</v>
      </c>
      <c r="C14" s="71">
        <f ca="1">'1(2019-20)'!J16</f>
        <v>32.709477936961861</v>
      </c>
      <c r="D14" s="71">
        <f>'Annexure ii (Dep)'!C15</f>
        <v>9.35</v>
      </c>
      <c r="E14" s="71">
        <f>' Annexure iii O&amp;M '!C15</f>
        <v>7.5784209785856005</v>
      </c>
      <c r="F14" s="71">
        <f t="shared" ca="1" si="1"/>
        <v>49.63789891554746</v>
      </c>
      <c r="G14" s="35"/>
    </row>
    <row r="15" spans="1:11" s="29" customFormat="1" ht="25.5" customHeight="1">
      <c r="A15" s="55">
        <v>12</v>
      </c>
      <c r="B15" s="49" t="s">
        <v>127</v>
      </c>
      <c r="C15" s="71">
        <f ca="1">'1(2019-20)'!J17</f>
        <v>647.12216998707925</v>
      </c>
      <c r="D15" s="71">
        <f>'Annexure ii (Dep)'!C16</f>
        <v>373.71026000000001</v>
      </c>
      <c r="E15" s="71">
        <f>' Annexure iii O&amp;M '!C16</f>
        <v>117.602592</v>
      </c>
      <c r="F15" s="71">
        <f t="shared" ca="1" si="1"/>
        <v>1138.4350219870792</v>
      </c>
      <c r="G15" s="35"/>
      <c r="K15" s="33"/>
    </row>
    <row r="16" spans="1:11" s="29" customFormat="1" ht="25.5" customHeight="1">
      <c r="A16" s="55">
        <v>13</v>
      </c>
      <c r="B16" s="49" t="s">
        <v>134</v>
      </c>
      <c r="C16" s="71">
        <f ca="1">'1(2019-20)'!J18</f>
        <v>269.85937536829914</v>
      </c>
      <c r="D16" s="71">
        <f>'Annexure ii (Dep)'!C17</f>
        <v>156.11599079999999</v>
      </c>
      <c r="E16" s="71">
        <f>' Annexure iii O&amp;M '!C17</f>
        <v>51.75</v>
      </c>
      <c r="F16" s="71">
        <f t="shared" ca="1" si="1"/>
        <v>477.72536616829916</v>
      </c>
      <c r="G16" s="34"/>
    </row>
    <row r="17" spans="1:7" s="29" customFormat="1" ht="31.5" customHeight="1">
      <c r="A17" s="55"/>
      <c r="B17" s="49" t="s">
        <v>42</v>
      </c>
      <c r="C17" s="71"/>
      <c r="D17" s="71"/>
      <c r="E17" s="71"/>
      <c r="F17" s="71">
        <f>53.76*1.0664</f>
        <v>57.329664000000001</v>
      </c>
      <c r="G17" s="35"/>
    </row>
    <row r="18" spans="1:7" s="29" customFormat="1" ht="42.75" customHeight="1">
      <c r="A18" s="55"/>
      <c r="B18" s="49" t="s">
        <v>70</v>
      </c>
      <c r="C18" s="49"/>
      <c r="D18" s="71"/>
      <c r="E18" s="71"/>
      <c r="F18" s="71">
        <f>808.28*1.0664*1.15</f>
        <v>991.24226079999994</v>
      </c>
      <c r="G18" s="35"/>
    </row>
    <row r="19" spans="1:7" s="29" customFormat="1" ht="42.75" customHeight="1">
      <c r="A19" s="55"/>
      <c r="B19" s="49" t="s">
        <v>145</v>
      </c>
      <c r="C19" s="49"/>
      <c r="D19" s="71"/>
      <c r="E19" s="71"/>
      <c r="F19" s="71">
        <v>223.75</v>
      </c>
      <c r="G19" s="35"/>
    </row>
    <row r="20" spans="1:7" s="29" customFormat="1" ht="24" customHeight="1">
      <c r="A20" s="55"/>
      <c r="B20" s="57" t="s">
        <v>21</v>
      </c>
      <c r="C20" s="58">
        <f ca="1">SUM(C4:C18)</f>
        <v>1604.9270627446497</v>
      </c>
      <c r="D20" s="58">
        <f t="shared" ref="D20:E20" si="2">SUM(D4:D18)</f>
        <v>908.92373474254953</v>
      </c>
      <c r="E20" s="58">
        <f t="shared" si="2"/>
        <v>1751.425498056904</v>
      </c>
      <c r="F20" s="58">
        <f ca="1">SUM(F4:F19)</f>
        <v>5537.5982203441017</v>
      </c>
      <c r="G20" s="34"/>
    </row>
    <row r="21" spans="1:7" s="29" customFormat="1" ht="27" customHeight="1">
      <c r="A21" s="90" t="s">
        <v>141</v>
      </c>
      <c r="B21" s="91" t="s">
        <v>143</v>
      </c>
      <c r="C21" s="92"/>
      <c r="D21" s="92"/>
      <c r="E21" s="92"/>
      <c r="F21" s="92"/>
      <c r="G21" s="34"/>
    </row>
    <row r="22" spans="1:7" ht="15.75">
      <c r="A22" s="90" t="s">
        <v>149</v>
      </c>
      <c r="B22" s="111" t="s">
        <v>148</v>
      </c>
      <c r="C22" s="111"/>
      <c r="D22" s="111"/>
      <c r="E22" s="111"/>
      <c r="F22" s="111"/>
    </row>
    <row r="23" spans="1:7" ht="15.75">
      <c r="A23" s="93"/>
      <c r="B23" s="111"/>
      <c r="C23" s="111"/>
      <c r="D23" s="111"/>
      <c r="E23" s="111"/>
      <c r="F23" s="111"/>
    </row>
  </sheetData>
  <mergeCells count="3">
    <mergeCell ref="A1:F1"/>
    <mergeCell ref="E2:F2"/>
    <mergeCell ref="B22:F23"/>
  </mergeCells>
  <phoneticPr fontId="0" type="noConversion"/>
  <pageMargins left="0.63" right="0.39" top="0.7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G19"/>
  <sheetViews>
    <sheetView workbookViewId="0">
      <selection activeCell="M5" sqref="M5"/>
    </sheetView>
  </sheetViews>
  <sheetFormatPr defaultRowHeight="15.75"/>
  <cols>
    <col min="1" max="1" width="7" style="28" customWidth="1"/>
    <col min="2" max="2" width="28.7109375" style="27" customWidth="1"/>
    <col min="3" max="3" width="11.42578125" style="28" customWidth="1"/>
    <col min="4" max="4" width="14.85546875" style="28" customWidth="1"/>
    <col min="5" max="5" width="13.28515625" style="28" customWidth="1"/>
    <col min="6" max="6" width="14.7109375" style="28" customWidth="1"/>
    <col min="7" max="7" width="9.5703125" style="28" bestFit="1" customWidth="1"/>
    <col min="8" max="16384" width="9.140625" style="27"/>
  </cols>
  <sheetData>
    <row r="1" spans="1:7" s="95" customFormat="1" ht="36.75" customHeight="1">
      <c r="A1" s="109" t="s">
        <v>100</v>
      </c>
      <c r="B1" s="109"/>
      <c r="C1" s="109"/>
      <c r="D1" s="109"/>
      <c r="E1" s="109"/>
      <c r="F1" s="109"/>
      <c r="G1" s="93"/>
    </row>
    <row r="2" spans="1:7" s="95" customFormat="1" ht="23.25" customHeight="1">
      <c r="A2" s="89"/>
      <c r="B2" s="89"/>
      <c r="C2" s="89"/>
      <c r="D2" s="89"/>
      <c r="E2" s="110" t="s">
        <v>1</v>
      </c>
      <c r="F2" s="110"/>
      <c r="G2" s="93"/>
    </row>
    <row r="3" spans="1:7" ht="29.25" customHeight="1">
      <c r="A3" s="40" t="s">
        <v>35</v>
      </c>
      <c r="B3" s="40" t="s">
        <v>38</v>
      </c>
      <c r="C3" s="40" t="s">
        <v>8</v>
      </c>
      <c r="D3" s="40" t="s">
        <v>33</v>
      </c>
      <c r="E3" s="40" t="s">
        <v>39</v>
      </c>
      <c r="F3" s="40" t="s">
        <v>40</v>
      </c>
    </row>
    <row r="4" spans="1:7" s="95" customFormat="1" ht="28.5" customHeight="1">
      <c r="A4" s="55">
        <v>1</v>
      </c>
      <c r="B4" s="49" t="s">
        <v>41</v>
      </c>
      <c r="C4" s="71">
        <f ca="1">'1(2020-21)'!J6</f>
        <v>36.349007859658663</v>
      </c>
      <c r="D4" s="71">
        <f>'Annexure ii (Dep)'!D5</f>
        <v>20.62</v>
      </c>
      <c r="E4" s="71">
        <f>' Annexure iii O&amp;M '!D5</f>
        <v>179.85225968109808</v>
      </c>
      <c r="F4" s="71">
        <f t="shared" ref="F4:F16" ca="1" si="0">C4+D4+E4</f>
        <v>236.82126754075674</v>
      </c>
      <c r="G4" s="93"/>
    </row>
    <row r="5" spans="1:7" s="95" customFormat="1" ht="28.5" customHeight="1">
      <c r="A5" s="55">
        <v>2</v>
      </c>
      <c r="B5" s="49" t="s">
        <v>64</v>
      </c>
      <c r="C5" s="71">
        <f ca="1">'1(2020-21)'!J7</f>
        <v>4.9842731111637129</v>
      </c>
      <c r="D5" s="71">
        <f>'Annexure ii (Dep)'!D6</f>
        <v>3.5819179784589887</v>
      </c>
      <c r="E5" s="71">
        <f>' Annexure iii O&amp;M '!D6</f>
        <v>19.593670342659024</v>
      </c>
      <c r="F5" s="71">
        <f t="shared" ca="1" si="0"/>
        <v>28.159861432281726</v>
      </c>
      <c r="G5" s="93"/>
    </row>
    <row r="6" spans="1:7" s="95" customFormat="1" ht="28.5" customHeight="1">
      <c r="A6" s="55">
        <v>3</v>
      </c>
      <c r="B6" s="49" t="s">
        <v>12</v>
      </c>
      <c r="C6" s="71">
        <f ca="1">'1(2020-21)'!J8</f>
        <v>43.449271559361868</v>
      </c>
      <c r="D6" s="71">
        <f>'Annexure ii (Dep)'!D7</f>
        <v>32.090000000000003</v>
      </c>
      <c r="E6" s="71">
        <f>' Annexure iii O&amp;M '!D7</f>
        <v>148.34757192630559</v>
      </c>
      <c r="F6" s="71">
        <f t="shared" ca="1" si="0"/>
        <v>223.88684348566747</v>
      </c>
      <c r="G6" s="93"/>
    </row>
    <row r="7" spans="1:7" s="95" customFormat="1" ht="28.5" customHeight="1">
      <c r="A7" s="55">
        <v>4</v>
      </c>
      <c r="B7" s="49" t="s">
        <v>65</v>
      </c>
      <c r="C7" s="71">
        <f ca="1">'1(2020-21)'!J9</f>
        <v>3.3219122872823261</v>
      </c>
      <c r="D7" s="71">
        <f>'Annexure ii (Dep)'!D8</f>
        <v>1.6083333333333334</v>
      </c>
      <c r="E7" s="71">
        <f>' Annexure iii O&amp;M '!D8</f>
        <v>8.3185661965734852</v>
      </c>
      <c r="F7" s="71">
        <f t="shared" ca="1" si="0"/>
        <v>13.248811817189145</v>
      </c>
      <c r="G7" s="93"/>
    </row>
    <row r="8" spans="1:7" s="95" customFormat="1" ht="28.5" customHeight="1">
      <c r="A8" s="55">
        <v>5</v>
      </c>
      <c r="B8" s="49" t="s">
        <v>66</v>
      </c>
      <c r="C8" s="71">
        <f ca="1">'1(2020-21)'!J10</f>
        <v>0.27938814517233823</v>
      </c>
      <c r="D8" s="71">
        <f>'Annexure ii (Dep)'!D9</f>
        <v>8.0327868852459017E-2</v>
      </c>
      <c r="E8" s="71">
        <f>' Annexure iii O&amp;M '!D9</f>
        <v>1.2782439364025673</v>
      </c>
      <c r="F8" s="71">
        <f t="shared" ca="1" si="0"/>
        <v>1.6379599504273645</v>
      </c>
      <c r="G8" s="93"/>
    </row>
    <row r="9" spans="1:7" s="95" customFormat="1" ht="28.5" customHeight="1">
      <c r="A9" s="55">
        <v>6</v>
      </c>
      <c r="B9" s="49" t="s">
        <v>19</v>
      </c>
      <c r="C9" s="71">
        <f ca="1">'1(2020-21)'!J11</f>
        <v>180.06464726064067</v>
      </c>
      <c r="D9" s="71">
        <f>'Annexure ii (Dep)'!D10</f>
        <v>41.59</v>
      </c>
      <c r="E9" s="71">
        <f>' Annexure iii O&amp;M '!D10</f>
        <v>629.66350348032006</v>
      </c>
      <c r="F9" s="71">
        <f t="shared" ca="1" si="0"/>
        <v>851.31815074096073</v>
      </c>
      <c r="G9" s="93"/>
    </row>
    <row r="10" spans="1:7" s="95" customFormat="1" ht="28.5" customHeight="1">
      <c r="A10" s="55">
        <v>7</v>
      </c>
      <c r="B10" s="49" t="s">
        <v>20</v>
      </c>
      <c r="C10" s="71">
        <f ca="1">'1(2020-21)'!J12</f>
        <v>81.877465074195683</v>
      </c>
      <c r="D10" s="71">
        <f>'Annexure ii (Dep)'!D11</f>
        <v>15.23</v>
      </c>
      <c r="E10" s="71">
        <f>' Annexure iii O&amp;M '!D11</f>
        <v>209.8832856576</v>
      </c>
      <c r="F10" s="71">
        <f t="shared" ca="1" si="0"/>
        <v>306.99075073179569</v>
      </c>
      <c r="G10" s="93"/>
    </row>
    <row r="11" spans="1:7" s="95" customFormat="1" ht="28.5" customHeight="1">
      <c r="A11" s="55">
        <v>8</v>
      </c>
      <c r="B11" s="94" t="s">
        <v>123</v>
      </c>
      <c r="C11" s="71">
        <f ca="1">'1(2020-21)'!J13</f>
        <v>78.944183287748714</v>
      </c>
      <c r="D11" s="71">
        <f>'Annexure ii (Dep)'!D12</f>
        <v>7.8535714285714286</v>
      </c>
      <c r="E11" s="71">
        <f>' Annexure iii O&amp;M '!D12</f>
        <v>209.8832856576</v>
      </c>
      <c r="F11" s="71">
        <f t="shared" ca="1" si="0"/>
        <v>296.68104037392015</v>
      </c>
      <c r="G11" s="93"/>
    </row>
    <row r="12" spans="1:7" s="95" customFormat="1" ht="28.5" customHeight="1">
      <c r="A12" s="55">
        <v>9</v>
      </c>
      <c r="B12" s="94" t="s">
        <v>124</v>
      </c>
      <c r="C12" s="71">
        <f ca="1">'1(2020-21)'!J14</f>
        <v>111.95981879058508</v>
      </c>
      <c r="D12" s="71">
        <f>'Annexure ii (Dep)'!D13</f>
        <v>23.967333333333332</v>
      </c>
      <c r="E12" s="71">
        <f>' Annexure iii O&amp;M '!D13</f>
        <v>167.27888918016004</v>
      </c>
      <c r="F12" s="71">
        <f t="shared" ca="1" si="0"/>
        <v>303.20604130407844</v>
      </c>
      <c r="G12" s="93"/>
    </row>
    <row r="13" spans="1:7" s="95" customFormat="1" ht="28.5" customHeight="1">
      <c r="A13" s="55">
        <v>10</v>
      </c>
      <c r="B13" s="94" t="s">
        <v>125</v>
      </c>
      <c r="C13" s="71">
        <f ca="1">'1(2020-21)'!J15</f>
        <v>72.404629885871756</v>
      </c>
      <c r="D13" s="71">
        <f>'Annexure ii (Dep)'!D14</f>
        <v>90.11</v>
      </c>
      <c r="E13" s="71">
        <f>' Annexure iii O&amp;M '!D14</f>
        <v>104.9416428288</v>
      </c>
      <c r="F13" s="71">
        <f t="shared" ca="1" si="0"/>
        <v>267.45627271467174</v>
      </c>
      <c r="G13" s="93"/>
    </row>
    <row r="14" spans="1:7" s="95" customFormat="1" ht="28.5" customHeight="1">
      <c r="A14" s="55">
        <v>11</v>
      </c>
      <c r="B14" s="94" t="s">
        <v>126</v>
      </c>
      <c r="C14" s="71">
        <f ca="1">'1(2020-21)'!J16</f>
        <v>33.96933698933811</v>
      </c>
      <c r="D14" s="71">
        <f>'Annexure ii (Dep)'!D15</f>
        <v>10.029999999999999</v>
      </c>
      <c r="E14" s="71">
        <f>' Annexure iii O&amp;M '!D15</f>
        <v>8.0816281315636846</v>
      </c>
      <c r="F14" s="71">
        <f t="shared" ca="1" si="0"/>
        <v>52.080965120901794</v>
      </c>
      <c r="G14" s="93"/>
    </row>
    <row r="15" spans="1:7" s="95" customFormat="1" ht="28.5" customHeight="1">
      <c r="A15" s="55">
        <v>12</v>
      </c>
      <c r="B15" s="94" t="s">
        <v>127</v>
      </c>
      <c r="C15" s="71">
        <f ca="1">'1(2020-21)'!J17</f>
        <v>602.608342252169</v>
      </c>
      <c r="D15" s="71">
        <f>'Annexure ii (Dep)'!D16</f>
        <v>373.71026000000001</v>
      </c>
      <c r="E15" s="71">
        <f>' Annexure iii O&amp;M '!D16</f>
        <v>125.4114041088</v>
      </c>
      <c r="F15" s="71">
        <f t="shared" ca="1" si="0"/>
        <v>1101.7300063609691</v>
      </c>
      <c r="G15" s="93"/>
    </row>
    <row r="16" spans="1:7" s="95" customFormat="1" ht="28.5" customHeight="1">
      <c r="A16" s="55">
        <v>13</v>
      </c>
      <c r="B16" s="94" t="s">
        <v>130</v>
      </c>
      <c r="C16" s="71">
        <f ca="1">'1(2020-21)'!J18</f>
        <v>792.20641419300864</v>
      </c>
      <c r="D16" s="71">
        <f>'Annexure ii (Dep)'!D17</f>
        <v>473.08</v>
      </c>
      <c r="E16" s="71">
        <f>' Annexure iii O&amp;M '!D17</f>
        <v>167.21520547839998</v>
      </c>
      <c r="F16" s="71">
        <f t="shared" ca="1" si="0"/>
        <v>1432.5016196714087</v>
      </c>
      <c r="G16" s="93"/>
    </row>
    <row r="17" spans="1:7" s="95" customFormat="1" ht="33.75" customHeight="1">
      <c r="A17" s="55"/>
      <c r="B17" s="49" t="s">
        <v>42</v>
      </c>
      <c r="C17" s="71"/>
      <c r="D17" s="71"/>
      <c r="E17" s="71"/>
      <c r="F17" s="71">
        <f>'FC(2019-20)'!F17*1.0664</f>
        <v>61.1363536896</v>
      </c>
      <c r="G17" s="96"/>
    </row>
    <row r="18" spans="1:7" s="95" customFormat="1" ht="33.75" customHeight="1">
      <c r="A18" s="55"/>
      <c r="B18" s="49" t="s">
        <v>70</v>
      </c>
      <c r="C18" s="49"/>
      <c r="D18" s="71"/>
      <c r="E18" s="71"/>
      <c r="F18" s="71">
        <f>'FC(2019-20)'!F18*1.0664</f>
        <v>1057.06074691712</v>
      </c>
      <c r="G18" s="96"/>
    </row>
    <row r="19" spans="1:7" s="95" customFormat="1" ht="21.75" customHeight="1">
      <c r="A19" s="55"/>
      <c r="B19" s="57" t="s">
        <v>21</v>
      </c>
      <c r="C19" s="58">
        <f ca="1">SUM(C4:C18)</f>
        <v>2042.4186906961966</v>
      </c>
      <c r="D19" s="58">
        <f t="shared" ref="D19:F19" si="1">SUM(D4:D18)</f>
        <v>1093.5517439425496</v>
      </c>
      <c r="E19" s="58">
        <f t="shared" si="1"/>
        <v>1979.7491566062827</v>
      </c>
      <c r="F19" s="58">
        <f t="shared" ca="1" si="1"/>
        <v>6233.9166918517494</v>
      </c>
      <c r="G19" s="93"/>
    </row>
  </sheetData>
  <mergeCells count="2">
    <mergeCell ref="A1:F1"/>
    <mergeCell ref="E2:F2"/>
  </mergeCells>
  <pageMargins left="0.63" right="0.39" top="0.7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23"/>
  <sheetViews>
    <sheetView workbookViewId="0">
      <selection activeCell="C27" sqref="C27"/>
    </sheetView>
  </sheetViews>
  <sheetFormatPr defaultRowHeight="15.75"/>
  <cols>
    <col min="1" max="1" width="7" style="28" customWidth="1"/>
    <col min="2" max="2" width="27.140625" style="27" customWidth="1"/>
    <col min="3" max="3" width="12.42578125" style="28" customWidth="1"/>
    <col min="4" max="4" width="13.5703125" style="28" customWidth="1"/>
    <col min="5" max="5" width="11.140625" style="28" customWidth="1"/>
    <col min="6" max="6" width="16.140625" style="28" customWidth="1"/>
    <col min="7" max="16384" width="9.140625" style="27"/>
  </cols>
  <sheetData>
    <row r="1" spans="1:6" s="95" customFormat="1" ht="36.75" customHeight="1">
      <c r="A1" s="109" t="s">
        <v>101</v>
      </c>
      <c r="B1" s="109"/>
      <c r="C1" s="109"/>
      <c r="D1" s="109"/>
      <c r="E1" s="109"/>
      <c r="F1" s="109"/>
    </row>
    <row r="2" spans="1:6" s="95" customFormat="1" ht="23.25" customHeight="1">
      <c r="A2" s="89"/>
      <c r="B2" s="89"/>
      <c r="C2" s="89"/>
      <c r="D2" s="89"/>
      <c r="E2" s="110" t="s">
        <v>1</v>
      </c>
      <c r="F2" s="110"/>
    </row>
    <row r="3" spans="1:6" ht="29.25" customHeight="1">
      <c r="A3" s="40" t="s">
        <v>35</v>
      </c>
      <c r="B3" s="40" t="s">
        <v>38</v>
      </c>
      <c r="C3" s="40" t="s">
        <v>8</v>
      </c>
      <c r="D3" s="40" t="s">
        <v>33</v>
      </c>
      <c r="E3" s="40" t="s">
        <v>39</v>
      </c>
      <c r="F3" s="40" t="s">
        <v>40</v>
      </c>
    </row>
    <row r="4" spans="1:6" s="95" customFormat="1" ht="20.100000000000001" customHeight="1">
      <c r="A4" s="55">
        <v>1</v>
      </c>
      <c r="B4" s="49" t="s">
        <v>41</v>
      </c>
      <c r="C4" s="71">
        <f ca="1">'1(2021-22)'!J6</f>
        <v>34.627312186695796</v>
      </c>
      <c r="D4" s="71">
        <f>'Annexure ii (Dep)'!E5</f>
        <v>20.62</v>
      </c>
      <c r="E4" s="71">
        <f>' Annexure iii O&amp;M '!E5</f>
        <v>191.79444972392298</v>
      </c>
      <c r="F4" s="71">
        <f t="shared" ref="F4:F10" ca="1" si="0">C4+D4+E4</f>
        <v>247.04176191061879</v>
      </c>
    </row>
    <row r="5" spans="1:6" s="95" customFormat="1" ht="20.100000000000001" customHeight="1">
      <c r="A5" s="55">
        <v>2</v>
      </c>
      <c r="B5" s="49" t="s">
        <v>64</v>
      </c>
      <c r="C5" s="71">
        <f ca="1">'1(2021-22)'!J7</f>
        <v>4.645528555462894</v>
      </c>
      <c r="D5" s="71">
        <f>'Annexure ii (Dep)'!E6</f>
        <v>3.5819179784589887</v>
      </c>
      <c r="E5" s="71">
        <f>' Annexure iii O&amp;M '!E6</f>
        <v>20.894690053411583</v>
      </c>
      <c r="F5" s="71">
        <f t="shared" ca="1" si="0"/>
        <v>29.122136587333465</v>
      </c>
    </row>
    <row r="6" spans="1:6" s="95" customFormat="1" ht="20.100000000000001" customHeight="1">
      <c r="A6" s="55">
        <v>3</v>
      </c>
      <c r="B6" s="49" t="s">
        <v>12</v>
      </c>
      <c r="C6" s="71">
        <f ca="1">'1(2021-22)'!J8</f>
        <v>40.33521964567344</v>
      </c>
      <c r="D6" s="71">
        <f>'Annexure ii (Dep)'!E7</f>
        <v>32.090000000000003</v>
      </c>
      <c r="E6" s="71">
        <f>' Annexure iii O&amp;M '!E7</f>
        <v>158.19785070221229</v>
      </c>
      <c r="F6" s="71">
        <f t="shared" ca="1" si="0"/>
        <v>230.62307034788574</v>
      </c>
    </row>
    <row r="7" spans="1:6" s="95" customFormat="1" ht="20.100000000000001" customHeight="1">
      <c r="A7" s="55">
        <v>4</v>
      </c>
      <c r="B7" s="49" t="s">
        <v>65</v>
      </c>
      <c r="C7" s="71">
        <f ca="1">'1(2021-22)'!J9</f>
        <v>3.1590331170564561</v>
      </c>
      <c r="D7" s="71">
        <f>'Annexure ii (Dep)'!E8</f>
        <v>1.6083333333333334</v>
      </c>
      <c r="E7" s="71">
        <f>' Annexure iii O&amp;M '!E8</f>
        <v>8.870918992025965</v>
      </c>
      <c r="F7" s="71">
        <f t="shared" ca="1" si="0"/>
        <v>13.638285442415754</v>
      </c>
    </row>
    <row r="8" spans="1:6" s="95" customFormat="1" ht="20.100000000000001" customHeight="1">
      <c r="A8" s="55">
        <v>5</v>
      </c>
      <c r="B8" s="49" t="s">
        <v>66</v>
      </c>
      <c r="C8" s="71">
        <f ca="1">'1(2021-22)'!J10</f>
        <v>0.27301431728539988</v>
      </c>
      <c r="D8" s="71">
        <f>'Annexure ii (Dep)'!E9</f>
        <v>8.0327868852459017E-2</v>
      </c>
      <c r="E8" s="71">
        <f>' Annexure iii O&amp;M '!E9</f>
        <v>1.3631193337796979</v>
      </c>
      <c r="F8" s="71">
        <f t="shared" ca="1" si="0"/>
        <v>1.7164615199175568</v>
      </c>
    </row>
    <row r="9" spans="1:6" s="95" customFormat="1" ht="20.100000000000001" customHeight="1">
      <c r="A9" s="55">
        <v>6</v>
      </c>
      <c r="B9" s="49" t="s">
        <v>19</v>
      </c>
      <c r="C9" s="71">
        <f ca="1">'1(2021-22)'!J11</f>
        <v>177.14553663535898</v>
      </c>
      <c r="D9" s="71">
        <f>'Annexure ii (Dep)'!E10</f>
        <v>41.59</v>
      </c>
      <c r="E9" s="71">
        <f>' Annexure iii O&amp;M '!E10</f>
        <v>671.47316011141334</v>
      </c>
      <c r="F9" s="71">
        <f t="shared" ca="1" si="0"/>
        <v>890.20869674677238</v>
      </c>
    </row>
    <row r="10" spans="1:6" s="95" customFormat="1" ht="20.100000000000001" customHeight="1">
      <c r="A10" s="55">
        <v>7</v>
      </c>
      <c r="B10" s="49" t="s">
        <v>20</v>
      </c>
      <c r="C10" s="71">
        <f ca="1">'1(2021-22)'!J12</f>
        <v>80.896543511642093</v>
      </c>
      <c r="D10" s="71">
        <f>'Annexure ii (Dep)'!E11</f>
        <v>15.23</v>
      </c>
      <c r="E10" s="71">
        <f>' Annexure iii O&amp;M '!E11</f>
        <v>223.81953582526464</v>
      </c>
      <c r="F10" s="71">
        <f t="shared" ca="1" si="0"/>
        <v>319.94607933690673</v>
      </c>
    </row>
    <row r="11" spans="1:6" s="95" customFormat="1" ht="20.100000000000001" customHeight="1">
      <c r="A11" s="55">
        <v>8</v>
      </c>
      <c r="B11" s="94" t="s">
        <v>123</v>
      </c>
      <c r="C11" s="71">
        <f ca="1">'1(2021-22)'!J13</f>
        <v>78.551290990885079</v>
      </c>
      <c r="D11" s="71">
        <f>'Annexure ii (Dep)'!E12</f>
        <v>7.8535714285714286</v>
      </c>
      <c r="E11" s="71">
        <f>' Annexure iii O&amp;M '!E12</f>
        <v>223.81953582526464</v>
      </c>
      <c r="F11" s="71">
        <f t="shared" ref="F11:F16" ca="1" si="1">C11+D11+E11</f>
        <v>310.22439824472116</v>
      </c>
    </row>
    <row r="12" spans="1:6" s="95" customFormat="1" ht="20.100000000000001" customHeight="1">
      <c r="A12" s="55">
        <v>9</v>
      </c>
      <c r="B12" s="94" t="s">
        <v>124</v>
      </c>
      <c r="C12" s="71">
        <f ca="1">'1(2021-22)'!J14</f>
        <v>109.56863385548533</v>
      </c>
      <c r="D12" s="71">
        <f>'Annexure ii (Dep)'!E13</f>
        <v>23.97</v>
      </c>
      <c r="E12" s="71">
        <f>' Annexure iii O&amp;M '!E13</f>
        <v>178.38620742172267</v>
      </c>
      <c r="F12" s="71">
        <f t="shared" ca="1" si="1"/>
        <v>311.92484127720797</v>
      </c>
    </row>
    <row r="13" spans="1:6" s="95" customFormat="1" ht="20.100000000000001" customHeight="1">
      <c r="A13" s="55">
        <v>10</v>
      </c>
      <c r="B13" s="94" t="s">
        <v>125</v>
      </c>
      <c r="C13" s="71">
        <f ca="1">'1(2021-22)'!J15</f>
        <v>60.295670262505261</v>
      </c>
      <c r="D13" s="71">
        <f>'Annexure ii (Dep)'!E14</f>
        <v>12.574000000000002</v>
      </c>
      <c r="E13" s="71">
        <f>' Annexure iii O&amp;M '!E14</f>
        <v>111.90976791263232</v>
      </c>
      <c r="F13" s="71">
        <f t="shared" ca="1" si="1"/>
        <v>184.77943817513759</v>
      </c>
    </row>
    <row r="14" spans="1:6" s="95" customFormat="1" ht="20.100000000000001" customHeight="1">
      <c r="A14" s="55">
        <v>11</v>
      </c>
      <c r="B14" s="94" t="s">
        <v>126</v>
      </c>
      <c r="C14" s="71">
        <f ca="1">'1(2021-22)'!J16</f>
        <v>32.793043187621798</v>
      </c>
      <c r="D14" s="71">
        <f>'Annexure ii (Dep)'!E15</f>
        <v>10.029999999999999</v>
      </c>
      <c r="E14" s="71">
        <f>' Annexure iii O&amp;M '!E15</f>
        <v>8.618248239499513</v>
      </c>
      <c r="F14" s="71">
        <f t="shared" ca="1" si="1"/>
        <v>51.441291427121314</v>
      </c>
    </row>
    <row r="15" spans="1:6" s="95" customFormat="1" ht="20.100000000000001" customHeight="1">
      <c r="A15" s="55">
        <v>12</v>
      </c>
      <c r="B15" s="94" t="s">
        <v>127</v>
      </c>
      <c r="C15" s="71">
        <f ca="1">'1(2021-22)'!J17</f>
        <v>558.11946354666213</v>
      </c>
      <c r="D15" s="71">
        <f>'Annexure ii (Dep)'!E16</f>
        <v>373.71026000000001</v>
      </c>
      <c r="E15" s="71">
        <f>' Annexure iii O&amp;M '!E16</f>
        <v>133.73872134162431</v>
      </c>
      <c r="F15" s="71">
        <f t="shared" ca="1" si="1"/>
        <v>1065.5684448882864</v>
      </c>
    </row>
    <row r="16" spans="1:6" s="95" customFormat="1" ht="20.100000000000001" customHeight="1">
      <c r="A16" s="55">
        <v>13</v>
      </c>
      <c r="B16" s="94" t="s">
        <v>130</v>
      </c>
      <c r="C16" s="71">
        <f ca="1">'1(2021-22)'!J18</f>
        <v>735.90484787185028</v>
      </c>
      <c r="D16" s="71">
        <f>'Annexure ii (Dep)'!E17</f>
        <v>473.08</v>
      </c>
      <c r="E16" s="71">
        <f>' Annexure iii O&amp;M '!E17</f>
        <v>178.31829512216575</v>
      </c>
      <c r="F16" s="71">
        <f t="shared" ca="1" si="1"/>
        <v>1387.3031429940161</v>
      </c>
    </row>
    <row r="17" spans="1:7" s="95" customFormat="1" ht="20.100000000000001" customHeight="1">
      <c r="A17" s="55">
        <v>14</v>
      </c>
      <c r="B17" s="94" t="s">
        <v>139</v>
      </c>
      <c r="C17" s="71">
        <f ca="1">'1(2021-22)'!J19</f>
        <v>85.164612195596732</v>
      </c>
      <c r="D17" s="71">
        <f>'Annexure ii (Dep)'!E18</f>
        <v>23.598159000000003</v>
      </c>
      <c r="E17" s="71">
        <f>' Annexure iii O&amp;M '!E18</f>
        <v>10.4109525</v>
      </c>
      <c r="F17" s="71">
        <f t="shared" ref="F17" ca="1" si="2">C17+D17+E17</f>
        <v>119.17372369559675</v>
      </c>
    </row>
    <row r="18" spans="1:7" s="95" customFormat="1" ht="33.75" customHeight="1">
      <c r="A18" s="55"/>
      <c r="B18" s="49" t="s">
        <v>42</v>
      </c>
      <c r="C18" s="71"/>
      <c r="D18" s="71"/>
      <c r="E18" s="71"/>
      <c r="F18" s="71">
        <f>'FC(2020-21)'!F17*1.0664</f>
        <v>65.195807574589438</v>
      </c>
      <c r="G18" s="97"/>
    </row>
    <row r="19" spans="1:7" s="95" customFormat="1" ht="33.75" customHeight="1">
      <c r="A19" s="55"/>
      <c r="B19" s="49" t="s">
        <v>70</v>
      </c>
      <c r="C19" s="71"/>
      <c r="D19" s="71"/>
      <c r="E19" s="71"/>
      <c r="F19" s="71">
        <f>'FC(2020-21)'!F18*1.0664</f>
        <v>1127.2495805124167</v>
      </c>
      <c r="G19" s="97"/>
    </row>
    <row r="20" spans="1:7" s="95" customFormat="1" ht="21.75" customHeight="1">
      <c r="A20" s="55"/>
      <c r="B20" s="57" t="s">
        <v>21</v>
      </c>
      <c r="C20" s="58">
        <f ca="1">SUM(C4:C19)</f>
        <v>2001.4797498797816</v>
      </c>
      <c r="D20" s="58">
        <f t="shared" ref="D20:F20" si="3">SUM(D4:D19)</f>
        <v>1039.6165696092162</v>
      </c>
      <c r="E20" s="58">
        <f t="shared" si="3"/>
        <v>2121.6154531049397</v>
      </c>
      <c r="F20" s="58">
        <f t="shared" ca="1" si="3"/>
        <v>6355.1571606809448</v>
      </c>
    </row>
    <row r="21" spans="1:7" s="95" customFormat="1">
      <c r="A21" s="93"/>
      <c r="C21" s="93"/>
      <c r="D21" s="93"/>
      <c r="E21" s="93"/>
      <c r="F21" s="93"/>
    </row>
    <row r="22" spans="1:7" s="95" customFormat="1">
      <c r="A22" s="90" t="s">
        <v>141</v>
      </c>
      <c r="B22" s="111" t="s">
        <v>144</v>
      </c>
      <c r="C22" s="111"/>
      <c r="D22" s="111"/>
      <c r="E22" s="111"/>
      <c r="F22" s="111"/>
    </row>
    <row r="23" spans="1:7">
      <c r="B23" s="111"/>
      <c r="C23" s="111"/>
      <c r="D23" s="111"/>
      <c r="E23" s="111"/>
      <c r="F23" s="111"/>
    </row>
  </sheetData>
  <mergeCells count="3">
    <mergeCell ref="A1:F1"/>
    <mergeCell ref="E2:F2"/>
    <mergeCell ref="B22:F23"/>
  </mergeCells>
  <phoneticPr fontId="0" type="noConversion"/>
  <pageMargins left="0.63" right="0.39" top="0.7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2"/>
  <dimension ref="A1:G23"/>
  <sheetViews>
    <sheetView workbookViewId="0">
      <selection activeCell="C28" sqref="C28"/>
    </sheetView>
  </sheetViews>
  <sheetFormatPr defaultRowHeight="15.75"/>
  <cols>
    <col min="1" max="1" width="7" style="28" customWidth="1"/>
    <col min="2" max="2" width="27.140625" style="27" customWidth="1"/>
    <col min="3" max="3" width="12.42578125" style="28" customWidth="1"/>
    <col min="4" max="4" width="13.5703125" style="28" customWidth="1"/>
    <col min="5" max="5" width="11.140625" style="28" customWidth="1"/>
    <col min="6" max="6" width="16.140625" style="28" customWidth="1"/>
    <col min="7" max="16384" width="9.140625" style="27"/>
  </cols>
  <sheetData>
    <row r="1" spans="1:6" s="95" customFormat="1" ht="36.75" customHeight="1">
      <c r="A1" s="109" t="s">
        <v>102</v>
      </c>
      <c r="B1" s="109"/>
      <c r="C1" s="109"/>
      <c r="D1" s="109"/>
      <c r="E1" s="109"/>
      <c r="F1" s="109"/>
    </row>
    <row r="2" spans="1:6" s="95" customFormat="1" ht="23.25" customHeight="1">
      <c r="A2" s="89"/>
      <c r="B2" s="89"/>
      <c r="C2" s="89"/>
      <c r="D2" s="89"/>
      <c r="E2" s="110" t="s">
        <v>1</v>
      </c>
      <c r="F2" s="110"/>
    </row>
    <row r="3" spans="1:6" ht="29.25" customHeight="1">
      <c r="A3" s="40" t="s">
        <v>35</v>
      </c>
      <c r="B3" s="40" t="s">
        <v>38</v>
      </c>
      <c r="C3" s="40" t="s">
        <v>8</v>
      </c>
      <c r="D3" s="40" t="s">
        <v>33</v>
      </c>
      <c r="E3" s="40" t="s">
        <v>39</v>
      </c>
      <c r="F3" s="40" t="s">
        <v>40</v>
      </c>
    </row>
    <row r="4" spans="1:6" s="95" customFormat="1" ht="26.25" customHeight="1">
      <c r="A4" s="55">
        <v>1</v>
      </c>
      <c r="B4" s="49" t="s">
        <v>41</v>
      </c>
      <c r="C4" s="71">
        <f ca="1">'1(2022-23)'!J6</f>
        <v>33.751819288382947</v>
      </c>
      <c r="D4" s="71">
        <f>'Annexure ii (Dep)'!F5</f>
        <v>20.62</v>
      </c>
      <c r="E4" s="71">
        <f>' Annexure iii O&amp;M '!F5</f>
        <v>204.52960118559147</v>
      </c>
      <c r="F4" s="71">
        <f t="shared" ref="F4:F16" ca="1" si="0">C4+D4+E4</f>
        <v>258.90142047397444</v>
      </c>
    </row>
    <row r="5" spans="1:6" s="95" customFormat="1" ht="26.25" customHeight="1">
      <c r="A5" s="55">
        <v>2</v>
      </c>
      <c r="B5" s="49" t="s">
        <v>64</v>
      </c>
      <c r="C5" s="71">
        <f ca="1">'1(2022-23)'!J7</f>
        <v>4.4116065787156407</v>
      </c>
      <c r="D5" s="71">
        <f>'Annexure ii (Dep)'!F6</f>
        <v>3.5819179784589887</v>
      </c>
      <c r="E5" s="71">
        <f>' Annexure iii O&amp;M '!F6</f>
        <v>22.282097472958114</v>
      </c>
      <c r="F5" s="71">
        <f t="shared" ca="1" si="0"/>
        <v>30.275622030132745</v>
      </c>
    </row>
    <row r="6" spans="1:6" s="95" customFormat="1" ht="26.25" customHeight="1">
      <c r="A6" s="55">
        <v>3</v>
      </c>
      <c r="B6" s="49" t="s">
        <v>12</v>
      </c>
      <c r="C6" s="71">
        <f ca="1">'1(2022-23)'!J8</f>
        <v>38.115285364493225</v>
      </c>
      <c r="D6" s="71">
        <f>'Annexure ii (Dep)'!F7</f>
        <v>32.090000000000003</v>
      </c>
      <c r="E6" s="71">
        <f>' Annexure iii O&amp;M '!F7</f>
        <v>168.7021879888392</v>
      </c>
      <c r="F6" s="71">
        <f t="shared" ca="1" si="0"/>
        <v>238.90747335333242</v>
      </c>
    </row>
    <row r="7" spans="1:6" s="95" customFormat="1" ht="26.25" customHeight="1">
      <c r="A7" s="55">
        <v>4</v>
      </c>
      <c r="B7" s="49" t="s">
        <v>65</v>
      </c>
      <c r="C7" s="71">
        <f ca="1">'1(2022-23)'!J9</f>
        <v>3.0200640911423888</v>
      </c>
      <c r="D7" s="71">
        <f>'Annexure ii (Dep)'!F8</f>
        <v>1.6083333333333334</v>
      </c>
      <c r="E7" s="71">
        <f>' Annexure iii O&amp;M '!F8</f>
        <v>9.4599480130964899</v>
      </c>
      <c r="F7" s="71">
        <f t="shared" ca="1" si="0"/>
        <v>14.088345437572212</v>
      </c>
    </row>
    <row r="8" spans="1:6" s="95" customFormat="1" ht="26.25" customHeight="1">
      <c r="A8" s="55">
        <v>5</v>
      </c>
      <c r="B8" s="49" t="s">
        <v>66</v>
      </c>
      <c r="C8" s="71">
        <f ca="1">'1(2022-23)'!J10</f>
        <v>0.26795186122284698</v>
      </c>
      <c r="D8" s="71">
        <f>'Annexure ii (Dep)'!F9</f>
        <v>8.0327868852459017E-2</v>
      </c>
      <c r="E8" s="71">
        <f>' Annexure iii O&amp;M '!F9</f>
        <v>1.4536304575426697</v>
      </c>
      <c r="F8" s="71">
        <f t="shared" ca="1" si="0"/>
        <v>1.8019101876179757</v>
      </c>
    </row>
    <row r="9" spans="1:6" s="95" customFormat="1" ht="26.25" customHeight="1">
      <c r="A9" s="55">
        <v>6</v>
      </c>
      <c r="B9" s="49" t="s">
        <v>19</v>
      </c>
      <c r="C9" s="71">
        <f ca="1">'1(2022-23)'!J11</f>
        <v>174.91007533095635</v>
      </c>
      <c r="D9" s="71">
        <f>'Annexure ii (Dep)'!F10</f>
        <v>0</v>
      </c>
      <c r="E9" s="71">
        <f>' Annexure iii O&amp;M '!F10</f>
        <v>716.05897794281123</v>
      </c>
      <c r="F9" s="71">
        <f t="shared" ca="1" si="0"/>
        <v>890.9690532737676</v>
      </c>
    </row>
    <row r="10" spans="1:6" s="95" customFormat="1" ht="26.25" customHeight="1">
      <c r="A10" s="55">
        <v>7</v>
      </c>
      <c r="B10" s="49" t="s">
        <v>20</v>
      </c>
      <c r="C10" s="71">
        <f ca="1">'1(2022-23)'!J12</f>
        <v>80.427884656980325</v>
      </c>
      <c r="D10" s="71">
        <f>'Annexure ii (Dep)'!F11</f>
        <v>15.23</v>
      </c>
      <c r="E10" s="71">
        <f>' Annexure iii O&amp;M '!F11</f>
        <v>238.68115300406222</v>
      </c>
      <c r="F10" s="71">
        <f t="shared" ca="1" si="0"/>
        <v>334.33903766104254</v>
      </c>
    </row>
    <row r="11" spans="1:6" s="95" customFormat="1" ht="26.25" customHeight="1">
      <c r="A11" s="55">
        <v>8</v>
      </c>
      <c r="B11" s="94" t="s">
        <v>123</v>
      </c>
      <c r="C11" s="71">
        <f ca="1">'1(2022-23)'!J13</f>
        <v>78.191566792123169</v>
      </c>
      <c r="D11" s="71">
        <f>'Annexure ii (Dep)'!F12</f>
        <v>7.8535714285714286</v>
      </c>
      <c r="E11" s="71">
        <f>' Annexure iii O&amp;M '!F12</f>
        <v>238.68115300406222</v>
      </c>
      <c r="F11" s="71">
        <f t="shared" ca="1" si="0"/>
        <v>324.72629122475684</v>
      </c>
    </row>
    <row r="12" spans="1:6" s="95" customFormat="1" ht="26.25" customHeight="1">
      <c r="A12" s="55">
        <v>9</v>
      </c>
      <c r="B12" s="94" t="s">
        <v>124</v>
      </c>
      <c r="C12" s="71">
        <f ca="1">'1(2022-23)'!J14</f>
        <v>107.20564407710363</v>
      </c>
      <c r="D12" s="71">
        <f>'Annexure ii (Dep)'!F13</f>
        <v>23.97</v>
      </c>
      <c r="E12" s="71">
        <f>' Annexure iii O&amp;M '!F13</f>
        <v>190.23105159452507</v>
      </c>
      <c r="F12" s="71">
        <f t="shared" ca="1" si="0"/>
        <v>321.40669567162871</v>
      </c>
    </row>
    <row r="13" spans="1:6" s="95" customFormat="1" ht="26.25" customHeight="1">
      <c r="A13" s="55">
        <v>10</v>
      </c>
      <c r="B13" s="94" t="s">
        <v>125</v>
      </c>
      <c r="C13" s="71">
        <f ca="1">'1(2022-23)'!J15</f>
        <v>59.092136302978645</v>
      </c>
      <c r="D13" s="71">
        <f>'Annexure ii (Dep)'!F14</f>
        <v>12.57</v>
      </c>
      <c r="E13" s="71">
        <f>' Annexure iii O&amp;M '!F14</f>
        <v>119.34057650203111</v>
      </c>
      <c r="F13" s="71">
        <f t="shared" ca="1" si="0"/>
        <v>191.00271280500976</v>
      </c>
    </row>
    <row r="14" spans="1:6" s="95" customFormat="1" ht="26.25" customHeight="1">
      <c r="A14" s="55">
        <v>11</v>
      </c>
      <c r="B14" s="94" t="s">
        <v>126</v>
      </c>
      <c r="C14" s="71">
        <f ca="1">'1(2022-23)'!J16</f>
        <v>31.618415267029683</v>
      </c>
      <c r="D14" s="71">
        <f>'Annexure ii (Dep)'!F15</f>
        <v>10.029999999999999</v>
      </c>
      <c r="E14" s="71">
        <f>' Annexure iii O&amp;M '!F15</f>
        <v>9.1904999226022817</v>
      </c>
      <c r="F14" s="71">
        <f t="shared" ca="1" si="0"/>
        <v>50.838915189631962</v>
      </c>
    </row>
    <row r="15" spans="1:6" s="95" customFormat="1" ht="26.25" customHeight="1">
      <c r="A15" s="55">
        <v>12</v>
      </c>
      <c r="B15" s="94" t="s">
        <v>127</v>
      </c>
      <c r="C15" s="71">
        <f ca="1">'1(2022-23)'!J17</f>
        <v>513.65694374447651</v>
      </c>
      <c r="D15" s="71">
        <f>'Annexure ii (Dep)'!F16</f>
        <v>373.71026000000001</v>
      </c>
      <c r="E15" s="71">
        <f>' Annexure iii O&amp;M '!F16</f>
        <v>142.61897243870817</v>
      </c>
      <c r="F15" s="71">
        <f t="shared" ca="1" si="0"/>
        <v>1029.9861761831846</v>
      </c>
    </row>
    <row r="16" spans="1:6" s="95" customFormat="1" ht="26.25" customHeight="1">
      <c r="A16" s="55">
        <v>13</v>
      </c>
      <c r="B16" s="94" t="s">
        <v>130</v>
      </c>
      <c r="C16" s="71">
        <f ca="1">'1(2022-23)'!J18</f>
        <v>679.63777247099881</v>
      </c>
      <c r="D16" s="71">
        <f>'Annexure ii (Dep)'!F17</f>
        <v>473.08</v>
      </c>
      <c r="E16" s="71">
        <f>' Annexure iii O&amp;M '!F17</f>
        <v>190.15862991827757</v>
      </c>
      <c r="F16" s="71">
        <f t="shared" ca="1" si="0"/>
        <v>1342.8764023892763</v>
      </c>
    </row>
    <row r="17" spans="1:7" s="95" customFormat="1" ht="26.25" customHeight="1">
      <c r="A17" s="55">
        <v>14</v>
      </c>
      <c r="B17" s="94" t="s">
        <v>139</v>
      </c>
      <c r="C17" s="71">
        <f ca="1">'1(2022-23)'!J19</f>
        <v>437.02221096264196</v>
      </c>
      <c r="D17" s="71">
        <f>'Annexure ii (Dep)'!F18</f>
        <v>121.62128100000001</v>
      </c>
      <c r="E17" s="71">
        <f>' Annexure iii O&amp;M '!F18</f>
        <v>53.656447499999999</v>
      </c>
      <c r="F17" s="71">
        <f t="shared" ref="F17" ca="1" si="1">C17+D17+E17</f>
        <v>612.29993946264199</v>
      </c>
    </row>
    <row r="18" spans="1:7" s="95" customFormat="1" ht="33.75" customHeight="1">
      <c r="A18" s="55"/>
      <c r="B18" s="49" t="s">
        <v>42</v>
      </c>
      <c r="C18" s="71"/>
      <c r="D18" s="71"/>
      <c r="E18" s="71"/>
      <c r="F18" s="71">
        <f>'FC(2021-22)'!F18*1.0664</f>
        <v>69.524809197542183</v>
      </c>
      <c r="G18" s="97"/>
    </row>
    <row r="19" spans="1:7" s="95" customFormat="1" ht="33.75" customHeight="1">
      <c r="A19" s="55"/>
      <c r="B19" s="49" t="s">
        <v>70</v>
      </c>
      <c r="C19" s="71"/>
      <c r="D19" s="71"/>
      <c r="E19" s="71"/>
      <c r="F19" s="71">
        <f>'FC(2021-22)'!F19*1.0664*1.15</f>
        <v>1382.4137955572073</v>
      </c>
      <c r="G19" s="97"/>
    </row>
    <row r="20" spans="1:7" s="95" customFormat="1" ht="21.75" customHeight="1">
      <c r="A20" s="55"/>
      <c r="B20" s="57" t="s">
        <v>21</v>
      </c>
      <c r="C20" s="58">
        <f ca="1">SUM(C4:C19)</f>
        <v>2241.3293767892465</v>
      </c>
      <c r="D20" s="58">
        <f t="shared" ref="D20:F20" si="2">SUM(D4:D19)</f>
        <v>1096.0456916092162</v>
      </c>
      <c r="E20" s="58">
        <f t="shared" si="2"/>
        <v>2305.0449269451083</v>
      </c>
      <c r="F20" s="58">
        <f t="shared" ca="1" si="2"/>
        <v>7094.3586000983196</v>
      </c>
    </row>
    <row r="22" spans="1:7">
      <c r="A22" s="98" t="s">
        <v>141</v>
      </c>
      <c r="B22" s="111" t="s">
        <v>144</v>
      </c>
      <c r="C22" s="111"/>
      <c r="D22" s="111"/>
      <c r="E22" s="111"/>
      <c r="F22" s="111"/>
    </row>
    <row r="23" spans="1:7">
      <c r="B23" s="111"/>
      <c r="C23" s="111"/>
      <c r="D23" s="111"/>
      <c r="E23" s="111"/>
      <c r="F23" s="111"/>
    </row>
  </sheetData>
  <mergeCells count="3">
    <mergeCell ref="A1:F1"/>
    <mergeCell ref="E2:F2"/>
    <mergeCell ref="B22:F23"/>
  </mergeCells>
  <pageMargins left="0.63" right="0.39" top="0.7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G23"/>
  <sheetViews>
    <sheetView workbookViewId="0">
      <selection activeCell="B28" sqref="B28"/>
    </sheetView>
  </sheetViews>
  <sheetFormatPr defaultRowHeight="15.75"/>
  <cols>
    <col min="1" max="1" width="7" style="28" customWidth="1"/>
    <col min="2" max="2" width="27.140625" style="27" customWidth="1"/>
    <col min="3" max="3" width="12.42578125" style="28" customWidth="1"/>
    <col min="4" max="4" width="13.5703125" style="28" customWidth="1"/>
    <col min="5" max="5" width="11.140625" style="28" customWidth="1"/>
    <col min="6" max="6" width="16.140625" style="28" customWidth="1"/>
    <col min="7" max="16384" width="9.140625" style="27"/>
  </cols>
  <sheetData>
    <row r="1" spans="1:6" s="95" customFormat="1" ht="36.75" customHeight="1">
      <c r="A1" s="109" t="s">
        <v>103</v>
      </c>
      <c r="B1" s="109"/>
      <c r="C1" s="109"/>
      <c r="D1" s="109"/>
      <c r="E1" s="109"/>
      <c r="F1" s="109"/>
    </row>
    <row r="2" spans="1:6" s="95" customFormat="1" ht="23.25" customHeight="1">
      <c r="A2" s="89"/>
      <c r="B2" s="89"/>
      <c r="C2" s="89"/>
      <c r="D2" s="89"/>
      <c r="E2" s="110" t="s">
        <v>1</v>
      </c>
      <c r="F2" s="110"/>
    </row>
    <row r="3" spans="1:6" ht="29.25" customHeight="1">
      <c r="A3" s="40" t="s">
        <v>35</v>
      </c>
      <c r="B3" s="40" t="s">
        <v>38</v>
      </c>
      <c r="C3" s="40" t="s">
        <v>8</v>
      </c>
      <c r="D3" s="40" t="s">
        <v>33</v>
      </c>
      <c r="E3" s="40" t="s">
        <v>39</v>
      </c>
      <c r="F3" s="40" t="s">
        <v>40</v>
      </c>
    </row>
    <row r="4" spans="1:6" s="95" customFormat="1" ht="20.100000000000001" customHeight="1">
      <c r="A4" s="55">
        <v>1</v>
      </c>
      <c r="B4" s="49" t="s">
        <v>41</v>
      </c>
      <c r="C4" s="71">
        <f ca="1">'1(2023-24)'!J6</f>
        <v>32.182415841377761</v>
      </c>
      <c r="D4" s="71">
        <f>'Annexure ii (Dep)'!G5</f>
        <v>20.62</v>
      </c>
      <c r="E4" s="71">
        <f>' Annexure iii O&amp;M '!G5</f>
        <v>218.11036670431474</v>
      </c>
      <c r="F4" s="71">
        <f t="shared" ref="F4:F10" ca="1" si="0">C4+D4+E4</f>
        <v>270.91278254569249</v>
      </c>
    </row>
    <row r="5" spans="1:6" s="95" customFormat="1" ht="20.100000000000001" customHeight="1">
      <c r="A5" s="55">
        <v>2</v>
      </c>
      <c r="B5" s="49" t="s">
        <v>64</v>
      </c>
      <c r="C5" s="71">
        <f ca="1">'1(2023-24)'!J7</f>
        <v>4.0913021961781961</v>
      </c>
      <c r="D5" s="71">
        <f>'Annexure ii (Dep)'!G6</f>
        <v>3.5819179784589887</v>
      </c>
      <c r="E5" s="71">
        <f>' Annexure iii O&amp;M '!G6</f>
        <v>23.761628745162533</v>
      </c>
      <c r="F5" s="71">
        <f t="shared" ca="1" si="0"/>
        <v>31.43484891979972</v>
      </c>
    </row>
    <row r="6" spans="1:6" s="95" customFormat="1" ht="20.100000000000001" customHeight="1">
      <c r="A6" s="55">
        <v>3</v>
      </c>
      <c r="B6" s="49" t="s">
        <v>12</v>
      </c>
      <c r="C6" s="71">
        <f ca="1">'1(2023-24)'!J8</f>
        <v>35.15342838086471</v>
      </c>
      <c r="D6" s="71">
        <f>'Annexure ii (Dep)'!G7</f>
        <v>32.090000000000003</v>
      </c>
      <c r="E6" s="71">
        <f>' Annexure iii O&amp;M '!G7</f>
        <v>179.90401327129811</v>
      </c>
      <c r="F6" s="71">
        <f t="shared" ca="1" si="0"/>
        <v>247.14744165216283</v>
      </c>
    </row>
    <row r="7" spans="1:6" s="95" customFormat="1" ht="20.100000000000001" customHeight="1">
      <c r="A7" s="55">
        <v>4</v>
      </c>
      <c r="B7" s="49" t="s">
        <v>65</v>
      </c>
      <c r="C7" s="71">
        <f ca="1">'1(2023-24)'!J9</f>
        <v>2.8625537481425933</v>
      </c>
      <c r="D7" s="71">
        <f>'Annexure ii (Dep)'!G8</f>
        <v>1.6083333333333334</v>
      </c>
      <c r="E7" s="71">
        <f>' Annexure iii O&amp;M '!G8</f>
        <v>10.088088561166098</v>
      </c>
      <c r="F7" s="71">
        <f t="shared" ca="1" si="0"/>
        <v>14.558975642642025</v>
      </c>
    </row>
    <row r="8" spans="1:6" s="95" customFormat="1" ht="20.100000000000001" customHeight="1">
      <c r="A8" s="55">
        <v>5</v>
      </c>
      <c r="B8" s="49" t="s">
        <v>66</v>
      </c>
      <c r="C8" s="71">
        <f ca="1">'1(2023-24)'!J10</f>
        <v>0.26208585883048807</v>
      </c>
      <c r="D8" s="71">
        <f>'Annexure ii (Dep)'!G9</f>
        <v>8.0327868852459017E-2</v>
      </c>
      <c r="E8" s="71">
        <f>' Annexure iii O&amp;M '!G9</f>
        <v>1.550151519923503</v>
      </c>
      <c r="F8" s="71">
        <f t="shared" ca="1" si="0"/>
        <v>1.8925652476064501</v>
      </c>
    </row>
    <row r="9" spans="1:6" s="95" customFormat="1" ht="20.100000000000001" customHeight="1">
      <c r="A9" s="55">
        <v>6</v>
      </c>
      <c r="B9" s="49" t="s">
        <v>19</v>
      </c>
      <c r="C9" s="71">
        <f ca="1">'1(2023-24)'!J11</f>
        <v>177.3594210438844</v>
      </c>
      <c r="D9" s="71">
        <f>'Annexure ii (Dep)'!G10</f>
        <v>0</v>
      </c>
      <c r="E9" s="71">
        <f>' Annexure iii O&amp;M '!G10</f>
        <v>763.60529407821389</v>
      </c>
      <c r="F9" s="71">
        <f t="shared" ca="1" si="0"/>
        <v>940.96471512209826</v>
      </c>
    </row>
    <row r="10" spans="1:6" s="95" customFormat="1" ht="20.100000000000001" customHeight="1">
      <c r="A10" s="55">
        <v>7</v>
      </c>
      <c r="B10" s="49" t="s">
        <v>20</v>
      </c>
      <c r="C10" s="71">
        <f ca="1">'1(2023-24)'!J12</f>
        <v>79.580537075715398</v>
      </c>
      <c r="D10" s="71">
        <f>'Annexure ii (Dep)'!G11</f>
        <v>15.23</v>
      </c>
      <c r="E10" s="71">
        <f>' Annexure iii O&amp;M '!G11</f>
        <v>254.52958156353196</v>
      </c>
      <c r="F10" s="71">
        <f t="shared" ca="1" si="0"/>
        <v>349.34011863924735</v>
      </c>
    </row>
    <row r="11" spans="1:6" s="95" customFormat="1" ht="20.100000000000001" customHeight="1">
      <c r="A11" s="55">
        <v>8</v>
      </c>
      <c r="B11" s="94" t="s">
        <v>123</v>
      </c>
      <c r="C11" s="71">
        <f ca="1">'1(2023-24)'!J13</f>
        <v>77.867072548839957</v>
      </c>
      <c r="D11" s="71">
        <f>'Annexure ii (Dep)'!G12</f>
        <v>7.8535714285714286</v>
      </c>
      <c r="E11" s="71">
        <f>' Annexure iii O&amp;M '!G12</f>
        <v>254.52958156353196</v>
      </c>
      <c r="F11" s="71">
        <f t="shared" ref="F11:F16" ca="1" si="1">C11+D11+E11</f>
        <v>340.25022554094335</v>
      </c>
    </row>
    <row r="12" spans="1:6" s="95" customFormat="1" ht="20.100000000000001" customHeight="1">
      <c r="A12" s="55">
        <v>9</v>
      </c>
      <c r="B12" s="94" t="s">
        <v>124</v>
      </c>
      <c r="C12" s="71">
        <f ca="1">'1(2023-24)'!J14</f>
        <v>104.87295262459629</v>
      </c>
      <c r="D12" s="71">
        <f>'Annexure ii (Dep)'!G13</f>
        <v>23.97</v>
      </c>
      <c r="E12" s="71">
        <f>' Annexure iii O&amp;M '!G13</f>
        <v>202.86239342040153</v>
      </c>
      <c r="F12" s="71">
        <f t="shared" ca="1" si="1"/>
        <v>331.70534604499784</v>
      </c>
    </row>
    <row r="13" spans="1:6" s="95" customFormat="1" ht="20.100000000000001" customHeight="1">
      <c r="A13" s="55">
        <v>10</v>
      </c>
      <c r="B13" s="94" t="s">
        <v>125</v>
      </c>
      <c r="C13" s="71">
        <f ca="1">'1(2023-24)'!J15</f>
        <v>57.907469016756856</v>
      </c>
      <c r="D13" s="71">
        <f>'Annexure ii (Dep)'!G14</f>
        <v>12.57</v>
      </c>
      <c r="E13" s="71">
        <f>' Annexure iii O&amp;M '!G14</f>
        <v>127.26479078176598</v>
      </c>
      <c r="F13" s="71">
        <f t="shared" ca="1" si="1"/>
        <v>197.74225979852284</v>
      </c>
    </row>
    <row r="14" spans="1:6" s="95" customFormat="1" ht="20.100000000000001" customHeight="1">
      <c r="A14" s="55">
        <v>11</v>
      </c>
      <c r="B14" s="94" t="s">
        <v>126</v>
      </c>
      <c r="C14" s="71">
        <f ca="1">'1(2023-24)'!J16</f>
        <v>30.445548169373289</v>
      </c>
      <c r="D14" s="71">
        <f>'Annexure ii (Dep)'!G15</f>
        <v>10.029999999999999</v>
      </c>
      <c r="E14" s="71">
        <f>' Annexure iii O&amp;M '!G15</f>
        <v>9.8007491174630736</v>
      </c>
      <c r="F14" s="71">
        <f t="shared" ca="1" si="1"/>
        <v>50.276297286836368</v>
      </c>
    </row>
    <row r="15" spans="1:6" s="95" customFormat="1" ht="20.100000000000001" customHeight="1">
      <c r="A15" s="55">
        <v>12</v>
      </c>
      <c r="B15" s="94" t="s">
        <v>127</v>
      </c>
      <c r="C15" s="71">
        <f ca="1">'1(2023-24)'!J17</f>
        <v>469.22227646549186</v>
      </c>
      <c r="D15" s="71">
        <f>'Annexure ii (Dep)'!G16</f>
        <v>373.71026000000001</v>
      </c>
      <c r="E15" s="71">
        <f>' Annexure iii O&amp;M '!G16</f>
        <v>152.08887220863841</v>
      </c>
      <c r="F15" s="71">
        <f t="shared" ca="1" si="1"/>
        <v>995.02140867413027</v>
      </c>
    </row>
    <row r="16" spans="1:6" s="95" customFormat="1" ht="20.100000000000001" customHeight="1">
      <c r="A16" s="55">
        <v>13</v>
      </c>
      <c r="B16" s="94" t="s">
        <v>130</v>
      </c>
      <c r="C16" s="71">
        <f ca="1">'1(2023-24)'!J18</f>
        <v>623.40715331226284</v>
      </c>
      <c r="D16" s="71">
        <f>'Annexure ii (Dep)'!G17</f>
        <v>473.08</v>
      </c>
      <c r="E16" s="71">
        <f>' Annexure iii O&amp;M '!G17</f>
        <v>202.78516294485121</v>
      </c>
      <c r="F16" s="71">
        <f t="shared" ca="1" si="1"/>
        <v>1299.272316257114</v>
      </c>
    </row>
    <row r="17" spans="1:7" s="95" customFormat="1" ht="20.100000000000001" customHeight="1">
      <c r="A17" s="55">
        <v>14</v>
      </c>
      <c r="B17" s="94" t="s">
        <v>139</v>
      </c>
      <c r="C17" s="71">
        <f ca="1">'1(2023-24)'!J19</f>
        <v>631.25641351729007</v>
      </c>
      <c r="D17" s="71">
        <f>'Annexure ii (Dep)'!G18</f>
        <v>179.709057</v>
      </c>
      <c r="E17" s="71">
        <f>' Annexure iii O&amp;M '!G18</f>
        <v>79.283407499999996</v>
      </c>
      <c r="F17" s="71">
        <f t="shared" ref="F17" ca="1" si="2">C17+D17+E17</f>
        <v>890.24887801729005</v>
      </c>
    </row>
    <row r="18" spans="1:7" s="95" customFormat="1" ht="33.75" customHeight="1">
      <c r="A18" s="55"/>
      <c r="B18" s="49" t="s">
        <v>42</v>
      </c>
      <c r="C18" s="71"/>
      <c r="D18" s="71"/>
      <c r="E18" s="71"/>
      <c r="F18" s="71">
        <f>'FC(2022-23)'!F18*1.0664</f>
        <v>74.141256528258978</v>
      </c>
      <c r="G18" s="97"/>
    </row>
    <row r="19" spans="1:7" s="95" customFormat="1" ht="33.75" customHeight="1">
      <c r="A19" s="55"/>
      <c r="B19" s="49" t="s">
        <v>70</v>
      </c>
      <c r="C19" s="71"/>
      <c r="D19" s="71"/>
      <c r="E19" s="71"/>
      <c r="F19" s="71">
        <f>'FC(2022-23)'!F19*1.0664</f>
        <v>1474.2060715822058</v>
      </c>
      <c r="G19" s="97"/>
    </row>
    <row r="20" spans="1:7" s="95" customFormat="1" ht="21.75" customHeight="1">
      <c r="A20" s="55"/>
      <c r="B20" s="57" t="s">
        <v>21</v>
      </c>
      <c r="C20" s="58">
        <f ca="1">SUM(C4:C19)</f>
        <v>2326.4706297996049</v>
      </c>
      <c r="D20" s="58">
        <f t="shared" ref="D20:F20" si="3">SUM(D4:D19)</f>
        <v>1154.1334676092163</v>
      </c>
      <c r="E20" s="58">
        <f t="shared" si="3"/>
        <v>2480.1640819802633</v>
      </c>
      <c r="F20" s="58">
        <f t="shared" ca="1" si="3"/>
        <v>7509.1155074995477</v>
      </c>
    </row>
    <row r="21" spans="1:7" s="95" customFormat="1">
      <c r="A21" s="93"/>
      <c r="C21" s="93"/>
      <c r="D21" s="93"/>
      <c r="E21" s="93"/>
      <c r="F21" s="93"/>
    </row>
    <row r="22" spans="1:7" s="95" customFormat="1">
      <c r="A22" s="90" t="s">
        <v>141</v>
      </c>
      <c r="B22" s="111" t="s">
        <v>144</v>
      </c>
      <c r="C22" s="111"/>
      <c r="D22" s="111"/>
      <c r="E22" s="111"/>
      <c r="F22" s="111"/>
    </row>
    <row r="23" spans="1:7">
      <c r="B23" s="111"/>
      <c r="C23" s="111"/>
      <c r="D23" s="111"/>
      <c r="E23" s="111"/>
      <c r="F23" s="111"/>
    </row>
  </sheetData>
  <mergeCells count="3">
    <mergeCell ref="A1:F1"/>
    <mergeCell ref="E2:F2"/>
    <mergeCell ref="B22:F23"/>
  </mergeCells>
  <phoneticPr fontId="0" type="noConversion"/>
  <pageMargins left="0.63" right="0.39" top="0.7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1"/>
  <dimension ref="A1:F18"/>
  <sheetViews>
    <sheetView workbookViewId="0">
      <selection activeCell="J4" sqref="J4"/>
    </sheetView>
  </sheetViews>
  <sheetFormatPr defaultRowHeight="15.75"/>
  <cols>
    <col min="1" max="1" width="17.7109375" style="27" customWidth="1"/>
    <col min="2" max="2" width="19.140625" style="27" customWidth="1"/>
    <col min="3" max="3" width="17.5703125" style="27" customWidth="1"/>
    <col min="4" max="4" width="20" style="27" customWidth="1"/>
    <col min="5" max="5" width="17.28515625" style="27" customWidth="1"/>
    <col min="6" max="6" width="17.85546875" style="27" customWidth="1"/>
    <col min="7" max="9" width="9.140625" style="27"/>
    <col min="10" max="10" width="11" style="27" bestFit="1" customWidth="1"/>
    <col min="11" max="16384" width="9.140625" style="27"/>
  </cols>
  <sheetData>
    <row r="1" spans="1:6" ht="22.5" customHeight="1">
      <c r="A1" s="113" t="s">
        <v>81</v>
      </c>
      <c r="B1" s="113"/>
      <c r="C1" s="113"/>
      <c r="D1" s="113"/>
      <c r="E1" s="113"/>
      <c r="F1" s="113"/>
    </row>
    <row r="2" spans="1:6" ht="40.5" customHeight="1">
      <c r="A2" s="112" t="s">
        <v>135</v>
      </c>
      <c r="B2" s="112"/>
      <c r="C2" s="112"/>
      <c r="D2" s="112"/>
      <c r="E2" s="112"/>
      <c r="F2" s="112"/>
    </row>
    <row r="3" spans="1:6" ht="21.75" customHeight="1">
      <c r="A3" s="99"/>
      <c r="B3" s="99"/>
      <c r="C3" s="99"/>
      <c r="D3" s="99" t="s">
        <v>82</v>
      </c>
      <c r="E3" s="89"/>
    </row>
    <row r="4" spans="1:6" ht="51.75" customHeight="1">
      <c r="A4" s="37" t="s">
        <v>76</v>
      </c>
      <c r="B4" s="37" t="s">
        <v>77</v>
      </c>
      <c r="C4" s="37" t="s">
        <v>78</v>
      </c>
      <c r="D4" s="37" t="s">
        <v>147</v>
      </c>
      <c r="E4" s="37" t="s">
        <v>129</v>
      </c>
      <c r="F4" s="37" t="s">
        <v>146</v>
      </c>
    </row>
    <row r="5" spans="1:6" ht="30.75" customHeight="1">
      <c r="A5" s="100" t="s">
        <v>41</v>
      </c>
      <c r="B5" s="101">
        <v>683.08</v>
      </c>
      <c r="C5" s="101">
        <v>3.49</v>
      </c>
      <c r="D5" s="101">
        <f>B5+C5</f>
        <v>686.57</v>
      </c>
      <c r="E5" s="102">
        <f>6.28+5.76</f>
        <v>12.04</v>
      </c>
      <c r="F5" s="103">
        <f>D5+E5</f>
        <v>698.61</v>
      </c>
    </row>
    <row r="6" spans="1:6" ht="30.75" customHeight="1">
      <c r="A6" s="100" t="s">
        <v>104</v>
      </c>
      <c r="B6" s="101">
        <v>113.6</v>
      </c>
      <c r="C6" s="101">
        <v>0</v>
      </c>
      <c r="D6" s="101">
        <f t="shared" ref="D6:D14" si="0">B6+C6</f>
        <v>113.6</v>
      </c>
      <c r="E6" s="102">
        <v>1.18</v>
      </c>
      <c r="F6" s="103">
        <f t="shared" ref="F6:F14" si="1">D6+E6</f>
        <v>114.78</v>
      </c>
    </row>
    <row r="7" spans="1:6" ht="30.75" customHeight="1">
      <c r="A7" s="100" t="s">
        <v>58</v>
      </c>
      <c r="B7" s="101">
        <v>929.59</v>
      </c>
      <c r="C7" s="101">
        <v>16.690000000000001</v>
      </c>
      <c r="D7" s="101">
        <f t="shared" si="0"/>
        <v>946.28000000000009</v>
      </c>
      <c r="E7" s="102">
        <v>17.48</v>
      </c>
      <c r="F7" s="103">
        <f t="shared" si="1"/>
        <v>963.7600000000001</v>
      </c>
    </row>
    <row r="8" spans="1:6" ht="30.75" customHeight="1">
      <c r="A8" s="100" t="s">
        <v>105</v>
      </c>
      <c r="B8" s="101">
        <v>56.68</v>
      </c>
      <c r="C8" s="101">
        <v>0</v>
      </c>
      <c r="D8" s="101">
        <f t="shared" si="0"/>
        <v>56.68</v>
      </c>
      <c r="E8" s="102">
        <v>0</v>
      </c>
      <c r="F8" s="103">
        <f t="shared" si="1"/>
        <v>56.68</v>
      </c>
    </row>
    <row r="9" spans="1:6" ht="30.75" customHeight="1">
      <c r="A9" s="100" t="s">
        <v>66</v>
      </c>
      <c r="B9" s="101">
        <v>3.55</v>
      </c>
      <c r="C9" s="101">
        <v>0</v>
      </c>
      <c r="D9" s="101">
        <f t="shared" si="0"/>
        <v>3.55</v>
      </c>
      <c r="E9" s="102">
        <v>0</v>
      </c>
      <c r="F9" s="103">
        <f t="shared" si="1"/>
        <v>3.55</v>
      </c>
    </row>
    <row r="10" spans="1:6" ht="30.75" customHeight="1">
      <c r="A10" s="100" t="s">
        <v>79</v>
      </c>
      <c r="B10" s="101">
        <v>2865.57</v>
      </c>
      <c r="C10" s="101">
        <v>96.67</v>
      </c>
      <c r="D10" s="101">
        <f t="shared" si="0"/>
        <v>2962.2400000000002</v>
      </c>
      <c r="E10" s="102">
        <v>144.82550000000001</v>
      </c>
      <c r="F10" s="103">
        <f t="shared" si="1"/>
        <v>3107.0655000000002</v>
      </c>
    </row>
    <row r="11" spans="1:6" ht="30.75" customHeight="1">
      <c r="A11" s="100" t="s">
        <v>80</v>
      </c>
      <c r="B11" s="101">
        <v>1963.58</v>
      </c>
      <c r="C11" s="101">
        <v>47.75</v>
      </c>
      <c r="D11" s="101">
        <f t="shared" si="0"/>
        <v>2011.33</v>
      </c>
      <c r="E11" s="102">
        <v>33.36</v>
      </c>
      <c r="F11" s="103">
        <f t="shared" si="1"/>
        <v>2044.6899999999998</v>
      </c>
    </row>
    <row r="12" spans="1:6" ht="30.75" customHeight="1">
      <c r="A12" s="100" t="s">
        <v>128</v>
      </c>
      <c r="B12" s="101">
        <v>1872.97</v>
      </c>
      <c r="C12" s="101">
        <v>1.49</v>
      </c>
      <c r="D12" s="101">
        <f>B12+C12</f>
        <v>1874.46</v>
      </c>
      <c r="E12" s="102">
        <v>1.25</v>
      </c>
      <c r="F12" s="103">
        <f t="shared" si="1"/>
        <v>1875.71</v>
      </c>
    </row>
    <row r="13" spans="1:6" ht="30.75" customHeight="1">
      <c r="A13" s="100" t="s">
        <v>124</v>
      </c>
      <c r="B13" s="101">
        <v>2038.67</v>
      </c>
      <c r="C13" s="101">
        <v>80.180000000000007</v>
      </c>
      <c r="D13" s="101">
        <f>B13+C13</f>
        <v>2118.85</v>
      </c>
      <c r="E13" s="102">
        <v>38.93</v>
      </c>
      <c r="F13" s="103">
        <f t="shared" si="1"/>
        <v>2157.7799999999997</v>
      </c>
    </row>
    <row r="14" spans="1:6" ht="30.75" customHeight="1">
      <c r="A14" s="100" t="s">
        <v>125</v>
      </c>
      <c r="B14" s="101">
        <v>1170.26</v>
      </c>
      <c r="C14" s="101">
        <v>12.16</v>
      </c>
      <c r="D14" s="101">
        <f t="shared" si="0"/>
        <v>1182.42</v>
      </c>
      <c r="E14" s="102">
        <v>36.72</v>
      </c>
      <c r="F14" s="103">
        <f t="shared" si="1"/>
        <v>1219.1400000000001</v>
      </c>
    </row>
    <row r="15" spans="1:6" ht="30.75" hidden="1" customHeight="1">
      <c r="A15" s="100" t="s">
        <v>126</v>
      </c>
      <c r="B15" s="101"/>
      <c r="C15" s="101"/>
      <c r="D15" s="102"/>
      <c r="E15" s="102"/>
      <c r="F15" s="102">
        <v>275.42358200000001</v>
      </c>
    </row>
    <row r="16" spans="1:6" ht="30.75" hidden="1" customHeight="1">
      <c r="A16" s="100" t="s">
        <v>127</v>
      </c>
      <c r="B16" s="101"/>
      <c r="C16" s="101"/>
      <c r="D16" s="101"/>
      <c r="E16" s="102"/>
      <c r="F16" s="104">
        <v>4853.38</v>
      </c>
    </row>
    <row r="17" spans="1:6" ht="30.75" hidden="1" customHeight="1">
      <c r="A17" s="100" t="s">
        <v>130</v>
      </c>
      <c r="B17" s="101"/>
      <c r="C17" s="101"/>
      <c r="D17" s="101"/>
      <c r="E17" s="102"/>
      <c r="F17" s="104">
        <v>6143.88</v>
      </c>
    </row>
    <row r="18" spans="1:6" ht="30.75" hidden="1" customHeight="1">
      <c r="A18" s="100" t="s">
        <v>137</v>
      </c>
      <c r="B18" s="101"/>
      <c r="C18" s="101"/>
      <c r="D18" s="101"/>
      <c r="E18" s="102"/>
      <c r="F18" s="104">
        <v>5338.95</v>
      </c>
    </row>
  </sheetData>
  <mergeCells count="2">
    <mergeCell ref="A2:F2"/>
    <mergeCell ref="A1:F1"/>
  </mergeCells>
  <phoneticPr fontId="2" type="noConversion"/>
  <printOptions horizontalCentered="1"/>
  <pageMargins left="0.9" right="0.75" top="1" bottom="1" header="0.5" footer="0.5"/>
  <pageSetup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R18"/>
  <sheetViews>
    <sheetView topLeftCell="A3" zoomScale="95" zoomScaleNormal="95" workbookViewId="0">
      <selection activeCell="E16" sqref="E16"/>
    </sheetView>
  </sheetViews>
  <sheetFormatPr defaultRowHeight="15"/>
  <cols>
    <col min="1" max="1" width="22.42578125" style="32" customWidth="1"/>
    <col min="2" max="2" width="14.85546875" style="32" customWidth="1"/>
    <col min="3" max="3" width="14" style="32" customWidth="1"/>
    <col min="4" max="4" width="10.5703125" style="32" customWidth="1"/>
    <col min="5" max="5" width="18.140625" style="32" customWidth="1"/>
    <col min="6" max="6" width="11.85546875" style="32" customWidth="1"/>
    <col min="7" max="7" width="11" style="32" customWidth="1"/>
    <col min="8" max="8" width="10.28515625" style="32" customWidth="1"/>
    <col min="9" max="9" width="10.5703125" style="32" customWidth="1"/>
    <col min="10" max="10" width="10" style="32" customWidth="1"/>
    <col min="11" max="13" width="9.140625" style="32"/>
    <col min="14" max="14" width="8.5703125" style="32" customWidth="1"/>
    <col min="15" max="16384" width="9.140625" style="32"/>
  </cols>
  <sheetData>
    <row r="1" spans="1:18" ht="40.5" customHeight="1">
      <c r="A1" s="114" t="s">
        <v>89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8" ht="39.75" customHeight="1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8" ht="17.25" customHeight="1">
      <c r="A3" s="30"/>
      <c r="B3" s="30"/>
      <c r="C3" s="30"/>
      <c r="D3" s="30"/>
      <c r="E3" s="30"/>
      <c r="F3" s="30"/>
      <c r="G3" s="30"/>
      <c r="H3" s="115" t="s">
        <v>1</v>
      </c>
      <c r="I3" s="115"/>
      <c r="J3" s="115"/>
    </row>
    <row r="4" spans="1:18" ht="57.75" customHeight="1">
      <c r="A4" s="41" t="s">
        <v>2</v>
      </c>
      <c r="B4" s="41" t="s">
        <v>132</v>
      </c>
      <c r="C4" s="41" t="s">
        <v>133</v>
      </c>
      <c r="D4" s="41" t="s">
        <v>3</v>
      </c>
      <c r="E4" s="41" t="s">
        <v>88</v>
      </c>
      <c r="F4" s="41" t="s">
        <v>4</v>
      </c>
      <c r="G4" s="41" t="s">
        <v>5</v>
      </c>
      <c r="H4" s="42" t="s">
        <v>6</v>
      </c>
      <c r="I4" s="42" t="s">
        <v>7</v>
      </c>
      <c r="J4" s="42" t="s">
        <v>8</v>
      </c>
    </row>
    <row r="5" spans="1:18" ht="20.25" customHeight="1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8" ht="27.75" customHeight="1">
      <c r="A6" s="43" t="s">
        <v>10</v>
      </c>
      <c r="B6" s="39">
        <v>698.61</v>
      </c>
      <c r="C6" s="44">
        <f t="shared" ref="C6:C13" si="0">B6*0.3</f>
        <v>209.583</v>
      </c>
      <c r="D6" s="44">
        <f t="shared" ref="D6:D13" si="1">B6-C6</f>
        <v>489.02700000000004</v>
      </c>
      <c r="E6" s="44">
        <f>461.4+20.62</f>
        <v>482.02</v>
      </c>
      <c r="F6" s="44">
        <f t="shared" ref="F6:F12" si="2">IF(E6&gt;D6,B6-E6,C6)</f>
        <v>209.583</v>
      </c>
      <c r="G6" s="44">
        <f t="shared" ref="G6:G12" si="3">IF(E6&lt;D6,D6-E6,0)</f>
        <v>7.0070000000000618</v>
      </c>
      <c r="H6" s="45">
        <f ca="1">'IV(IWC2019-20)'!H6</f>
        <v>106.42605364876225</v>
      </c>
      <c r="I6" s="46">
        <f t="shared" ref="I6:I12" ca="1" si="4">F6+G6+H6</f>
        <v>323.01605364876229</v>
      </c>
      <c r="J6" s="46">
        <f ca="1">I6*'FC(2019-24)'!$F$2</f>
        <v>38.115894330553949</v>
      </c>
    </row>
    <row r="7" spans="1:18" ht="27.75" customHeight="1">
      <c r="A7" s="43" t="s">
        <v>64</v>
      </c>
      <c r="B7" s="44">
        <v>114.78</v>
      </c>
      <c r="C7" s="44">
        <f t="shared" si="0"/>
        <v>34.433999999999997</v>
      </c>
      <c r="D7" s="44">
        <f t="shared" si="1"/>
        <v>80.346000000000004</v>
      </c>
      <c r="E7" s="44">
        <f>79.58+3.58</f>
        <v>83.16</v>
      </c>
      <c r="F7" s="44">
        <f t="shared" si="2"/>
        <v>31.620000000000005</v>
      </c>
      <c r="G7" s="44">
        <f t="shared" si="3"/>
        <v>0</v>
      </c>
      <c r="H7" s="45">
        <f ca="1">'IV(IWC2019-20)'!H7</f>
        <v>13.536114362540124</v>
      </c>
      <c r="I7" s="46">
        <f t="shared" ca="1" si="4"/>
        <v>45.15611436254013</v>
      </c>
      <c r="J7" s="46">
        <f ca="1">I7*'FC(2019-24)'!$F$2</f>
        <v>5.328421494779735</v>
      </c>
    </row>
    <row r="8" spans="1:18" ht="27.75" customHeight="1">
      <c r="A8" s="43" t="s">
        <v>12</v>
      </c>
      <c r="B8" s="39">
        <v>963.7600000000001</v>
      </c>
      <c r="C8" s="44">
        <f t="shared" si="0"/>
        <v>289.12800000000004</v>
      </c>
      <c r="D8" s="44">
        <f t="shared" si="1"/>
        <v>674.63200000000006</v>
      </c>
      <c r="E8" s="44">
        <f>647.7+32.09</f>
        <v>679.79000000000008</v>
      </c>
      <c r="F8" s="44">
        <f t="shared" si="2"/>
        <v>283.97000000000003</v>
      </c>
      <c r="G8" s="44">
        <f t="shared" si="3"/>
        <v>0</v>
      </c>
      <c r="H8" s="45">
        <f ca="1">'IV(IWC2019-20)'!H8</f>
        <v>111.0047722884365</v>
      </c>
      <c r="I8" s="46">
        <f t="shared" ca="1" si="4"/>
        <v>394.9747722884365</v>
      </c>
      <c r="J8" s="46">
        <f ca="1">I8*'FC(2019-24)'!$F$2</f>
        <v>46.607023130035508</v>
      </c>
    </row>
    <row r="9" spans="1:18" ht="27.75" customHeight="1">
      <c r="A9" s="43" t="s">
        <v>65</v>
      </c>
      <c r="B9" s="44">
        <v>56.68</v>
      </c>
      <c r="C9" s="44">
        <f t="shared" si="0"/>
        <v>17.003999999999998</v>
      </c>
      <c r="D9" s="44">
        <f t="shared" si="1"/>
        <v>39.676000000000002</v>
      </c>
      <c r="E9" s="44">
        <f>30.43+1.61</f>
        <v>32.04</v>
      </c>
      <c r="F9" s="44">
        <f t="shared" si="2"/>
        <v>17.003999999999998</v>
      </c>
      <c r="G9" s="44">
        <f t="shared" si="3"/>
        <v>7.6360000000000028</v>
      </c>
      <c r="H9" s="45">
        <f ca="1">'IV(IWC2019-20)'!H9</f>
        <v>4.9072230872200588</v>
      </c>
      <c r="I9" s="46">
        <f t="shared" ca="1" si="4"/>
        <v>29.547223087220061</v>
      </c>
      <c r="J9" s="46">
        <f ca="1">I9*'FC(2019-24)'!$F$2</f>
        <v>3.4865723242919668</v>
      </c>
      <c r="R9" s="47"/>
    </row>
    <row r="10" spans="1:18" ht="27.75" customHeight="1">
      <c r="A10" s="43" t="s">
        <v>66</v>
      </c>
      <c r="B10" s="44">
        <v>3.55</v>
      </c>
      <c r="C10" s="44">
        <f t="shared" si="0"/>
        <v>1.0649999999999999</v>
      </c>
      <c r="D10" s="44">
        <f t="shared" si="1"/>
        <v>2.4849999999999999</v>
      </c>
      <c r="E10" s="44">
        <f>1.52+0.08</f>
        <v>1.6</v>
      </c>
      <c r="F10" s="44">
        <f t="shared" si="2"/>
        <v>1.0649999999999999</v>
      </c>
      <c r="G10" s="44">
        <f t="shared" si="3"/>
        <v>0.88499999999999979</v>
      </c>
      <c r="H10" s="45">
        <f ca="1">'IV(IWC2019-20)'!H10</f>
        <v>0.47338729949891667</v>
      </c>
      <c r="I10" s="46">
        <f t="shared" ca="1" si="4"/>
        <v>2.4233872994989163</v>
      </c>
      <c r="J10" s="46">
        <f ca="1">I10*'FC(2019-24)'!$F$2</f>
        <v>0.28595970134087212</v>
      </c>
    </row>
    <row r="11" spans="1:18" ht="27.75" customHeight="1">
      <c r="A11" s="43" t="s">
        <v>19</v>
      </c>
      <c r="B11" s="44">
        <v>3107.0655000000002</v>
      </c>
      <c r="C11" s="44">
        <f t="shared" si="0"/>
        <v>932.11964999999998</v>
      </c>
      <c r="D11" s="44">
        <f t="shared" si="1"/>
        <v>2174.9458500000001</v>
      </c>
      <c r="E11" s="44">
        <f>2599.58+72</f>
        <v>2671.58</v>
      </c>
      <c r="F11" s="44">
        <f t="shared" si="2"/>
        <v>435.48550000000023</v>
      </c>
      <c r="G11" s="44">
        <f t="shared" si="3"/>
        <v>0</v>
      </c>
      <c r="H11" s="45">
        <f ca="1">'IV(IWC2019-20)'!H11</f>
        <v>1116.2712330463476</v>
      </c>
      <c r="I11" s="46">
        <f t="shared" ca="1" si="4"/>
        <v>1551.7567330463478</v>
      </c>
      <c r="J11" s="46">
        <f ca="1">I11*'FC(2019-24)'!$F$2</f>
        <v>183.10729449946902</v>
      </c>
      <c r="O11" s="48"/>
    </row>
    <row r="12" spans="1:18" ht="27.75" customHeight="1">
      <c r="A12" s="43" t="s">
        <v>20</v>
      </c>
      <c r="B12" s="44">
        <v>2044.6899999999998</v>
      </c>
      <c r="C12" s="44">
        <f t="shared" si="0"/>
        <v>613.40699999999993</v>
      </c>
      <c r="D12" s="44">
        <f t="shared" si="1"/>
        <v>1431.2829999999999</v>
      </c>
      <c r="E12" s="44">
        <f>1724.86+39.2</f>
        <v>1764.06</v>
      </c>
      <c r="F12" s="44">
        <f t="shared" si="2"/>
        <v>280.62999999999988</v>
      </c>
      <c r="G12" s="44">
        <f t="shared" si="3"/>
        <v>0</v>
      </c>
      <c r="H12" s="45">
        <f ca="1">'IV(IWC2019-20)'!H12</f>
        <v>421.95841523548017</v>
      </c>
      <c r="I12" s="46">
        <f t="shared" ca="1" si="4"/>
        <v>702.58841523548006</v>
      </c>
      <c r="J12" s="46">
        <f ca="1">I12*'FC(2019-24)'!$F$2</f>
        <v>82.905432997786647</v>
      </c>
      <c r="O12" s="48"/>
    </row>
    <row r="13" spans="1:18" ht="27.75" customHeight="1">
      <c r="A13" s="43" t="s">
        <v>123</v>
      </c>
      <c r="B13" s="39">
        <v>1875.71</v>
      </c>
      <c r="C13" s="44">
        <f t="shared" si="0"/>
        <v>562.71299999999997</v>
      </c>
      <c r="D13" s="44">
        <f t="shared" si="1"/>
        <v>1312.9970000000001</v>
      </c>
      <c r="E13" s="44">
        <f>1433.96+144.22</f>
        <v>1578.18</v>
      </c>
      <c r="F13" s="44">
        <f t="shared" ref="F13:F17" si="5">IF(E13&gt;D13,B13-E13,C13)</f>
        <v>297.52999999999997</v>
      </c>
      <c r="G13" s="44">
        <f t="shared" ref="G13:G17" si="6">IF(E13&lt;D13,D13-E13,0)</f>
        <v>0</v>
      </c>
      <c r="H13" s="45">
        <f ca="1">'IV(IWC2019-20)'!H13</f>
        <v>375.08275542818285</v>
      </c>
      <c r="I13" s="46">
        <f t="shared" ref="I13:I17" ca="1" si="7">F13+G13+H13</f>
        <v>672.61275542818282</v>
      </c>
      <c r="J13" s="46">
        <f ca="1">I13*'FC(2019-24)'!$F$2</f>
        <v>79.368305140525564</v>
      </c>
      <c r="M13" s="48"/>
    </row>
    <row r="14" spans="1:18" ht="27.75" customHeight="1">
      <c r="A14" s="43" t="s">
        <v>124</v>
      </c>
      <c r="B14" s="39">
        <v>2157.7799999999997</v>
      </c>
      <c r="C14" s="44">
        <f t="shared" ref="C14:C17" si="8">B14*0.3</f>
        <v>647.33399999999995</v>
      </c>
      <c r="D14" s="44">
        <f t="shared" ref="D14:D17" si="9">B14-C14</f>
        <v>1510.4459999999999</v>
      </c>
      <c r="E14" s="44">
        <f>1268.53+156.98</f>
        <v>1425.51</v>
      </c>
      <c r="F14" s="44">
        <f t="shared" si="5"/>
        <v>647.33399999999995</v>
      </c>
      <c r="G14" s="44">
        <f t="shared" si="6"/>
        <v>84.935999999999922</v>
      </c>
      <c r="H14" s="45">
        <f ca="1">'IV(IWC2019-20)'!H14</f>
        <v>395.32965345120709</v>
      </c>
      <c r="I14" s="46">
        <f t="shared" ca="1" si="7"/>
        <v>1127.5996534512069</v>
      </c>
      <c r="J14" s="46">
        <f ca="1">I14*'FC(2019-24)'!$F$2</f>
        <v>133.05675910724241</v>
      </c>
      <c r="O14" s="48"/>
    </row>
    <row r="15" spans="1:18" ht="27.75" customHeight="1">
      <c r="A15" s="43" t="s">
        <v>125</v>
      </c>
      <c r="B15" s="39">
        <v>1219.1400000000001</v>
      </c>
      <c r="C15" s="44">
        <f t="shared" si="8"/>
        <v>365.74200000000002</v>
      </c>
      <c r="D15" s="44">
        <f t="shared" si="9"/>
        <v>853.39800000000014</v>
      </c>
      <c r="E15" s="44">
        <f>638.29+90.11</f>
        <v>728.4</v>
      </c>
      <c r="F15" s="44">
        <f t="shared" si="5"/>
        <v>365.74200000000002</v>
      </c>
      <c r="G15" s="44">
        <f t="shared" si="6"/>
        <v>124.99800000000016</v>
      </c>
      <c r="H15" s="45">
        <f ca="1">'IV(IWC2019-20)'!H15</f>
        <v>212.43268412104729</v>
      </c>
      <c r="I15" s="46">
        <f t="shared" ca="1" si="7"/>
        <v>703.1726841210475</v>
      </c>
      <c r="J15" s="46">
        <f ca="1">I15*'FC(2019-24)'!$F$2</f>
        <v>82.974376726283595</v>
      </c>
      <c r="M15" s="48"/>
    </row>
    <row r="16" spans="1:18" ht="27.75" customHeight="1">
      <c r="A16" s="43" t="s">
        <v>126</v>
      </c>
      <c r="B16" s="39">
        <v>275.42</v>
      </c>
      <c r="C16" s="44">
        <f t="shared" si="8"/>
        <v>82.626000000000005</v>
      </c>
      <c r="D16" s="44">
        <f t="shared" si="9"/>
        <v>192.79400000000001</v>
      </c>
      <c r="E16" s="44">
        <f>B16*3.14%*(1+2/12)</f>
        <v>10.089552666666668</v>
      </c>
      <c r="F16" s="44">
        <f t="shared" si="5"/>
        <v>82.626000000000005</v>
      </c>
      <c r="G16" s="44">
        <f t="shared" si="6"/>
        <v>182.70444733333335</v>
      </c>
      <c r="H16" s="45">
        <f ca="1">'IV(IWC2019-20)'!H16</f>
        <v>11.868518234140044</v>
      </c>
      <c r="I16" s="46">
        <f t="shared" ca="1" si="7"/>
        <v>277.19896556747341</v>
      </c>
      <c r="J16" s="46">
        <f ca="1">I16*'FC(2019-24)'!$F$2</f>
        <v>32.709477936961861</v>
      </c>
    </row>
    <row r="17" spans="1:14" ht="27.75" customHeight="1">
      <c r="A17" s="43" t="s">
        <v>127</v>
      </c>
      <c r="B17" s="39">
        <v>4853.38</v>
      </c>
      <c r="C17" s="44">
        <f t="shared" si="8"/>
        <v>1456.0139999999999</v>
      </c>
      <c r="D17" s="44">
        <f t="shared" si="9"/>
        <v>3397.366</v>
      </c>
      <c r="E17" s="44">
        <v>0</v>
      </c>
      <c r="F17" s="44">
        <f t="shared" si="5"/>
        <v>1456.0139999999999</v>
      </c>
      <c r="G17" s="44">
        <f t="shared" si="6"/>
        <v>3397.366</v>
      </c>
      <c r="H17" s="45">
        <f ca="1">'IV(IWC2019-20)'!H17</f>
        <v>630.70618633117988</v>
      </c>
      <c r="I17" s="46">
        <f t="shared" ca="1" si="7"/>
        <v>5484.0861863311802</v>
      </c>
      <c r="J17" s="46">
        <f ca="1">I17*'FC(2019-24)'!$F$2</f>
        <v>647.12216998707925</v>
      </c>
    </row>
    <row r="18" spans="1:14" ht="27.75" customHeight="1">
      <c r="A18" s="43" t="s">
        <v>134</v>
      </c>
      <c r="B18" s="39">
        <v>6143.88</v>
      </c>
      <c r="C18" s="44">
        <f t="shared" ref="C18" si="10">B18*0.3</f>
        <v>1843.164</v>
      </c>
      <c r="D18" s="44">
        <f t="shared" ref="D18" si="11">B18-C18</f>
        <v>4300.7160000000003</v>
      </c>
      <c r="E18" s="44">
        <v>0</v>
      </c>
      <c r="F18" s="44">
        <f t="shared" ref="F18" si="12">IF(E18&gt;D18,B18-E18,C18)</f>
        <v>1843.164</v>
      </c>
      <c r="G18" s="44">
        <f t="shared" ref="G18" si="13">IF(E18&lt;D18,D18-E18,0)</f>
        <v>4300.7160000000003</v>
      </c>
      <c r="H18" s="45">
        <f ca="1">'IV(IWC2019-20)'!H18</f>
        <v>723.81927643658616</v>
      </c>
      <c r="I18" s="46">
        <f t="shared" ref="I18" ca="1" si="14">F18+G18+H18</f>
        <v>6867.6992764365859</v>
      </c>
      <c r="J18" s="46">
        <f ca="1">I18*'FC(2019-24)'!$F$2*33.3%</f>
        <v>269.85937536829914</v>
      </c>
      <c r="N18" s="48"/>
    </row>
  </sheetData>
  <mergeCells count="3">
    <mergeCell ref="A1:J1"/>
    <mergeCell ref="A2:J2"/>
    <mergeCell ref="H3:J3"/>
  </mergeCells>
  <phoneticPr fontId="2" type="noConversion"/>
  <pageMargins left="0.57999999999999996" right="0.2" top="0.47" bottom="0.38" header="0.28999999999999998" footer="0.2800000000000000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FC(2014-15) (2)</vt:lpstr>
      <vt:lpstr>FC(2019-24)</vt:lpstr>
      <vt:lpstr>FC(2019-20)</vt:lpstr>
      <vt:lpstr>FC(2020-21)</vt:lpstr>
      <vt:lpstr>FC(2021-22)</vt:lpstr>
      <vt:lpstr>FC(2022-23)</vt:lpstr>
      <vt:lpstr>FC(2023-24)</vt:lpstr>
      <vt:lpstr>I-A</vt:lpstr>
      <vt:lpstr>1(2019-20)</vt:lpstr>
      <vt:lpstr>1(2020-21)</vt:lpstr>
      <vt:lpstr>1(2021-22)</vt:lpstr>
      <vt:lpstr>1(2022-23)</vt:lpstr>
      <vt:lpstr>1(2023-24)</vt:lpstr>
      <vt:lpstr>Annexure ii (Dep)</vt:lpstr>
      <vt:lpstr> Annexure iii O&amp;M </vt:lpstr>
      <vt:lpstr>IV(IWC2019-20)</vt:lpstr>
      <vt:lpstr>IV(IWC2020-21)</vt:lpstr>
      <vt:lpstr>IV(IWC2021-22)</vt:lpstr>
      <vt:lpstr>IV(IWC2022-23)</vt:lpstr>
      <vt:lpstr>IV(IWC2023-24)</vt:lpstr>
      <vt:lpstr>'FC(2019-20)'!Print_Area</vt:lpstr>
      <vt:lpstr>'FC(2019-24)'!Print_Area</vt:lpstr>
      <vt:lpstr>'IV(IWC2019-20)'!Print_Area</vt:lpstr>
      <vt:lpstr>'IV(IWC2020-21)'!Print_Area</vt:lpstr>
      <vt:lpstr>'IV(IWC2021-22)'!Print_Area</vt:lpstr>
      <vt:lpstr>'IV(IWC2022-23)'!Print_Area</vt:lpstr>
      <vt:lpstr>'IV(IWC2023-24)'!Print_Area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APERC</cp:lastModifiedBy>
  <cp:lastPrinted>2018-12-20T13:23:30Z</cp:lastPrinted>
  <dcterms:created xsi:type="dcterms:W3CDTF">1996-10-14T23:33:28Z</dcterms:created>
  <dcterms:modified xsi:type="dcterms:W3CDTF">2018-12-28T11:42:26Z</dcterms:modified>
</cp:coreProperties>
</file>